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585" windowHeight="11115" activeTab="0"/>
  </bookViews>
  <sheets>
    <sheet name="Listado General" sheetId="1" r:id="rId1"/>
    <sheet name="DV-IDENTITY-0" sheetId="2" state="veryHidden" r:id="rId2"/>
  </sheets>
  <definedNames/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9"/>
            <rFont val="Tahoma"/>
            <family val="2"/>
          </rPr>
          <t xml:space="preserve">En el certificado se debe verificar que los primeros 2 dígitos corresponden a el Nº Oficial de la planta y los otros corresponden a la identificación del producto.
</t>
        </r>
      </text>
    </comment>
  </commentList>
</comments>
</file>

<file path=xl/sharedStrings.xml><?xml version="1.0" encoding="utf-8"?>
<sst xmlns="http://schemas.openxmlformats.org/spreadsheetml/2006/main" count="16" uniqueCount="16">
  <si>
    <t>EMAIL</t>
  </si>
  <si>
    <t>FAX</t>
  </si>
  <si>
    <t>TELEPHONE</t>
  </si>
  <si>
    <t>AAAAAE/a/jQ=</t>
  </si>
  <si>
    <t>AAAAAE/a/jU=</t>
  </si>
  <si>
    <t>AAAAAE/a/jY=</t>
  </si>
  <si>
    <t>AAAAAE/a/jc=</t>
  </si>
  <si>
    <t>AAAAAH8XuwA=</t>
  </si>
  <si>
    <t>AAAAAH8XuwE=</t>
  </si>
  <si>
    <r>
      <t xml:space="preserve">Registro de establecimintos habilitados para exportar a Chile 
</t>
    </r>
    <r>
      <rPr>
        <b/>
        <i/>
        <sz val="16"/>
        <rFont val="Calibri"/>
        <family val="2"/>
      </rPr>
      <t>Register of establishments authorized to export to Chile</t>
    </r>
  </si>
  <si>
    <r>
      <t xml:space="preserve">PRODUCTO  - </t>
    </r>
    <r>
      <rPr>
        <b/>
        <i/>
        <sz val="11"/>
        <color indexed="9"/>
        <rFont val="Calibri"/>
        <family val="2"/>
      </rPr>
      <t xml:space="preserve"> Product</t>
    </r>
  </si>
  <si>
    <r>
      <t>PAIS  -</t>
    </r>
    <r>
      <rPr>
        <b/>
        <i/>
        <sz val="11"/>
        <color indexed="9"/>
        <rFont val="Calibri"/>
        <family val="2"/>
      </rPr>
      <t xml:space="preserve"> Country</t>
    </r>
  </si>
  <si>
    <r>
      <t xml:space="preserve">DIRECCION  -  </t>
    </r>
    <r>
      <rPr>
        <b/>
        <i/>
        <sz val="11"/>
        <color indexed="9"/>
        <rFont val="Calibri"/>
        <family val="2"/>
      </rPr>
      <t>Address</t>
    </r>
  </si>
  <si>
    <r>
      <t xml:space="preserve">REPRESENTANTE LEGAL  -  </t>
    </r>
    <r>
      <rPr>
        <b/>
        <i/>
        <sz val="11"/>
        <color indexed="9"/>
        <rFont val="Calibri"/>
        <family val="2"/>
      </rPr>
      <t>Legal Representative</t>
    </r>
  </si>
  <si>
    <r>
      <t xml:space="preserve">N° Oficial  - </t>
    </r>
    <r>
      <rPr>
        <b/>
        <i/>
        <sz val="11"/>
        <color indexed="9"/>
        <rFont val="Calibri"/>
        <family val="2"/>
      </rPr>
      <t>Official Number</t>
    </r>
  </si>
  <si>
    <r>
      <t xml:space="preserve"> ESTABLECIMIENTO  -  </t>
    </r>
    <r>
      <rPr>
        <b/>
        <i/>
        <sz val="11"/>
        <color indexed="9"/>
        <rFont val="Calibri"/>
        <family val="2"/>
      </rPr>
      <t>Establishment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</si>
</sst>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ï¿½&quot;#,##0;\-&quot;ï¿½&quot;#,##0"/>
    <numFmt numFmtId="181" formatCode="&quot;ï¿½&quot;#,##0;[Red]\-&quot;ï¿½&quot;#,##0"/>
    <numFmt numFmtId="182" formatCode="&quot;ï¿½&quot;#,##0.00;\-&quot;ï¿½&quot;#,##0.00"/>
    <numFmt numFmtId="183" formatCode="&quot;ï¿½&quot;#,##0.00;[Red]\-&quot;ï¿½&quot;#,##0.00"/>
    <numFmt numFmtId="184" formatCode="_-&quot;ï¿½&quot;* #,##0_-;\-&quot;ï¿½&quot;* #,##0_-;_-&quot;ï¿½&quot;* &quot;-&quot;_-;_-@_-"/>
    <numFmt numFmtId="185" formatCode="_-&quot;ï¿½&quot;* #,##0.00_-;\-&quot;ï¿½&quot;* #,##0.00_-;_-&quot;ï¿½&quot;* &quot;-&quot;??_-;_-@_-"/>
    <numFmt numFmtId="186" formatCode="&quot;$&quot;\ #,##0;\-&quot;$&quot;\ #,##0"/>
    <numFmt numFmtId="187" formatCode="&quot;$&quot;\ #,##0;[Red]\-&quot;$&quot;\ #,##0"/>
    <numFmt numFmtId="188" formatCode="&quot;$&quot;\ #,##0.00;\-&quot;$&quot;\ #,##0.00"/>
    <numFmt numFmtId="189" formatCode="&quot;$&quot;\ #,##0.00;[Red]\-&quot;$&quot;\ #,##0.00"/>
    <numFmt numFmtId="190" formatCode="_-&quot;$&quot;\ * #,##0_-;\-&quot;$&quot;\ * #,##0_-;_-&quot;$&quot;\ * &quot;-&quot;_-;_-@_-"/>
    <numFmt numFmtId="191" formatCode="_-&quot;$&quot;\ * #,##0.00_-;\-&quot;$&quot;\ * #,##0.00_-;_-&quot;$&quot;\ * &quot;-&quot;??_-;_-@_-"/>
    <numFmt numFmtId="192" formatCode="_-* #,##0\ _P_t_s_-;\-* #,##0\ _P_t_s_-;_-* &quot;-&quot;??\ _P_t_s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340A]dddd\,\ d\ &quot;de&quot;\ mmmm\ &quot;de&quot;\ yyyy"/>
    <numFmt numFmtId="198" formatCode="[$-409]h:mm:ss\ AM/PM"/>
    <numFmt numFmtId="199" formatCode="mmm/yyyy"/>
    <numFmt numFmtId="200" formatCode="[$-407]dddd\,\ d\.\ mmmm\ yyyy"/>
    <numFmt numFmtId="201" formatCode="0.000"/>
    <numFmt numFmtId="202" formatCode="0.0000"/>
    <numFmt numFmtId="203" formatCode="0.0"/>
    <numFmt numFmtId="204" formatCode="hh:mm:ss"/>
    <numFmt numFmtId="205" formatCode="00000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i/>
      <sz val="11"/>
      <color indexed="9"/>
      <name val="Calibri"/>
      <family val="2"/>
    </font>
    <font>
      <b/>
      <i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54">
      <alignment/>
      <protection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top"/>
    </xf>
    <xf numFmtId="0" fontId="26" fillId="0" borderId="0" xfId="46" applyFont="1" applyAlignment="1" applyProtection="1">
      <alignment/>
      <protection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24" fillId="0" borderId="13" xfId="0" applyFont="1" applyBorder="1" applyAlignment="1">
      <alignment/>
    </xf>
    <xf numFmtId="14" fontId="2" fillId="0" borderId="10" xfId="46" applyNumberFormat="1" applyBorder="1" applyAlignment="1" applyProtection="1">
      <alignment horizontal="center"/>
      <protection/>
    </xf>
    <xf numFmtId="49" fontId="24" fillId="0" borderId="10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1857375</xdr:colOff>
      <xdr:row>7</xdr:row>
      <xdr:rowOff>85725</xdr:rowOff>
    </xdr:to>
    <xdr:pic>
      <xdr:nvPicPr>
        <xdr:cNvPr id="1" name="Picture 171" descr="logo_sag_2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7907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9"/>
  <sheetViews>
    <sheetView showGridLines="0" tabSelected="1" zoomScale="70" zoomScaleNormal="70" zoomScalePageLayoutView="0" workbookViewId="0" topLeftCell="A1">
      <selection activeCell="M33" sqref="M33"/>
    </sheetView>
  </sheetViews>
  <sheetFormatPr defaultColWidth="11.421875" defaultRowHeight="12.75"/>
  <cols>
    <col min="1" max="1" width="45.8515625" style="5" bestFit="1" customWidth="1"/>
    <col min="2" max="2" width="34.421875" style="8" bestFit="1" customWidth="1"/>
    <col min="3" max="3" width="29.57421875" style="11" bestFit="1" customWidth="1"/>
    <col min="4" max="4" width="23.421875" style="12" customWidth="1"/>
    <col min="5" max="5" width="39.421875" style="5" bestFit="1" customWidth="1"/>
    <col min="6" max="6" width="42.7109375" style="5" bestFit="1" customWidth="1"/>
    <col min="7" max="7" width="27.140625" style="12" bestFit="1" customWidth="1"/>
    <col min="8" max="8" width="18.28125" style="13" bestFit="1" customWidth="1"/>
    <col min="9" max="9" width="17.8515625" style="13" bestFit="1" customWidth="1"/>
    <col min="10" max="16384" width="11.421875" style="5" customWidth="1"/>
  </cols>
  <sheetData>
    <row r="1" ht="15"/>
    <row r="2" ht="15"/>
    <row r="3" ht="15">
      <c r="B3" s="9"/>
    </row>
    <row r="4" spans="2:5" ht="18" customHeight="1">
      <c r="B4" s="20" t="s">
        <v>9</v>
      </c>
      <c r="C4" s="21"/>
      <c r="D4" s="21"/>
      <c r="E4" s="21"/>
    </row>
    <row r="5" spans="2:5" ht="15.75" customHeight="1">
      <c r="B5" s="20"/>
      <c r="C5" s="21"/>
      <c r="D5" s="21"/>
      <c r="E5" s="21"/>
    </row>
    <row r="6" spans="2:5" ht="15">
      <c r="B6" s="20"/>
      <c r="C6" s="21"/>
      <c r="D6" s="21"/>
      <c r="E6" s="21"/>
    </row>
    <row r="7" ht="15">
      <c r="A7" s="22"/>
    </row>
    <row r="8" ht="15">
      <c r="A8" s="22"/>
    </row>
    <row r="9" ht="15"/>
    <row r="10" ht="15">
      <c r="A10" s="10"/>
    </row>
    <row r="11" spans="1:9" s="10" customFormat="1" ht="34.5" customHeight="1">
      <c r="A11" s="15" t="s">
        <v>15</v>
      </c>
      <c r="B11" s="16" t="s">
        <v>14</v>
      </c>
      <c r="C11" s="14" t="s">
        <v>10</v>
      </c>
      <c r="D11" s="14" t="s">
        <v>11</v>
      </c>
      <c r="E11" s="14" t="s">
        <v>12</v>
      </c>
      <c r="F11" s="14" t="s">
        <v>13</v>
      </c>
      <c r="G11" s="14" t="s">
        <v>0</v>
      </c>
      <c r="H11" s="14" t="s">
        <v>2</v>
      </c>
      <c r="I11" s="14" t="s">
        <v>1</v>
      </c>
    </row>
    <row r="12" spans="1:9" ht="15">
      <c r="A12" s="17"/>
      <c r="B12" s="7"/>
      <c r="C12" s="3"/>
      <c r="D12" s="2"/>
      <c r="E12" s="4"/>
      <c r="F12" s="4"/>
      <c r="G12" s="18"/>
      <c r="H12" s="19"/>
      <c r="I12" s="19"/>
    </row>
    <row r="13" spans="1:9" ht="15">
      <c r="A13" s="4"/>
      <c r="B13" s="7"/>
      <c r="C13" s="3"/>
      <c r="D13" s="2"/>
      <c r="E13" s="4"/>
      <c r="F13" s="4"/>
      <c r="G13" s="2"/>
      <c r="H13" s="6"/>
      <c r="I13" s="6"/>
    </row>
    <row r="14" spans="1:9" ht="15">
      <c r="A14" s="4"/>
      <c r="B14" s="7"/>
      <c r="C14" s="3"/>
      <c r="D14" s="2"/>
      <c r="E14" s="4"/>
      <c r="F14" s="4"/>
      <c r="G14" s="2"/>
      <c r="H14" s="6"/>
      <c r="I14" s="6"/>
    </row>
    <row r="15" spans="1:9" ht="15">
      <c r="A15" s="4"/>
      <c r="B15" s="7"/>
      <c r="C15" s="3"/>
      <c r="D15" s="2"/>
      <c r="E15" s="4"/>
      <c r="F15" s="4"/>
      <c r="G15" s="2"/>
      <c r="H15" s="6"/>
      <c r="I15" s="6"/>
    </row>
    <row r="16" spans="1:9" ht="15">
      <c r="A16" s="4"/>
      <c r="B16" s="7"/>
      <c r="C16" s="3"/>
      <c r="D16" s="2"/>
      <c r="E16" s="4"/>
      <c r="F16" s="4"/>
      <c r="G16" s="2"/>
      <c r="H16" s="6"/>
      <c r="I16" s="6"/>
    </row>
    <row r="17" spans="1:9" ht="15">
      <c r="A17" s="4"/>
      <c r="B17" s="7"/>
      <c r="C17" s="3"/>
      <c r="D17" s="2"/>
      <c r="E17" s="4"/>
      <c r="F17" s="4"/>
      <c r="G17" s="2"/>
      <c r="H17" s="6"/>
      <c r="I17" s="6"/>
    </row>
    <row r="18" spans="1:9" ht="15">
      <c r="A18" s="4"/>
      <c r="B18" s="7"/>
      <c r="C18" s="3"/>
      <c r="D18" s="2"/>
      <c r="E18" s="4"/>
      <c r="F18" s="4"/>
      <c r="G18" s="2"/>
      <c r="H18" s="6"/>
      <c r="I18" s="6"/>
    </row>
    <row r="19" spans="1:9" ht="15">
      <c r="A19" s="4"/>
      <c r="B19" s="7"/>
      <c r="C19" s="3"/>
      <c r="D19" s="2"/>
      <c r="E19" s="4"/>
      <c r="F19" s="4"/>
      <c r="G19" s="2"/>
      <c r="H19" s="6"/>
      <c r="I19" s="6"/>
    </row>
    <row r="20" spans="1:9" ht="15">
      <c r="A20" s="4"/>
      <c r="B20" s="7"/>
      <c r="C20" s="3"/>
      <c r="D20" s="2"/>
      <c r="E20" s="4"/>
      <c r="F20" s="4"/>
      <c r="G20" s="2"/>
      <c r="H20" s="6"/>
      <c r="I20" s="6"/>
    </row>
    <row r="21" spans="1:9" ht="15">
      <c r="A21" s="4"/>
      <c r="B21" s="7"/>
      <c r="C21" s="3"/>
      <c r="D21" s="2"/>
      <c r="E21" s="4"/>
      <c r="F21" s="4"/>
      <c r="G21" s="2"/>
      <c r="H21" s="6"/>
      <c r="I21" s="6"/>
    </row>
    <row r="22" spans="1:9" ht="15">
      <c r="A22" s="4"/>
      <c r="B22" s="7"/>
      <c r="C22" s="3"/>
      <c r="D22" s="2"/>
      <c r="E22" s="4"/>
      <c r="F22" s="4"/>
      <c r="G22" s="2"/>
      <c r="H22" s="6"/>
      <c r="I22" s="6"/>
    </row>
    <row r="23" spans="1:9" ht="15">
      <c r="A23" s="4"/>
      <c r="B23" s="7"/>
      <c r="C23" s="3"/>
      <c r="D23" s="2"/>
      <c r="E23" s="4"/>
      <c r="F23" s="4"/>
      <c r="G23" s="2"/>
      <c r="H23" s="6"/>
      <c r="I23" s="6"/>
    </row>
    <row r="24" spans="1:9" ht="15">
      <c r="A24" s="4"/>
      <c r="B24" s="7"/>
      <c r="C24" s="3"/>
      <c r="D24" s="2"/>
      <c r="E24" s="4"/>
      <c r="F24" s="4"/>
      <c r="G24" s="2"/>
      <c r="H24" s="6"/>
      <c r="I24" s="6"/>
    </row>
    <row r="25" spans="1:9" ht="15">
      <c r="A25" s="4"/>
      <c r="B25" s="7"/>
      <c r="C25" s="3"/>
      <c r="D25" s="2"/>
      <c r="E25" s="4"/>
      <c r="F25" s="4"/>
      <c r="G25" s="2"/>
      <c r="H25" s="6"/>
      <c r="I25" s="6"/>
    </row>
    <row r="26" spans="1:9" ht="15">
      <c r="A26" s="4"/>
      <c r="B26" s="7"/>
      <c r="C26" s="3"/>
      <c r="D26" s="2"/>
      <c r="E26" s="4"/>
      <c r="F26" s="4"/>
      <c r="G26" s="2"/>
      <c r="H26" s="6"/>
      <c r="I26" s="6"/>
    </row>
    <row r="27" spans="1:9" ht="15">
      <c r="A27" s="4"/>
      <c r="B27" s="7"/>
      <c r="C27" s="3"/>
      <c r="D27" s="2"/>
      <c r="E27" s="4"/>
      <c r="F27" s="4"/>
      <c r="G27" s="2"/>
      <c r="H27" s="6"/>
      <c r="I27" s="6"/>
    </row>
    <row r="28" spans="1:9" ht="15">
      <c r="A28" s="4"/>
      <c r="B28" s="7"/>
      <c r="C28" s="3"/>
      <c r="D28" s="2"/>
      <c r="E28" s="4"/>
      <c r="F28" s="4"/>
      <c r="G28" s="2"/>
      <c r="H28" s="6"/>
      <c r="I28" s="6"/>
    </row>
    <row r="29" spans="1:9" ht="15">
      <c r="A29" s="4"/>
      <c r="B29" s="7"/>
      <c r="C29" s="3"/>
      <c r="D29" s="2"/>
      <c r="E29" s="4"/>
      <c r="F29" s="4"/>
      <c r="G29" s="2"/>
      <c r="H29" s="6"/>
      <c r="I29" s="6"/>
    </row>
    <row r="30" spans="1:9" ht="15">
      <c r="A30" s="4"/>
      <c r="B30" s="7"/>
      <c r="C30" s="3"/>
      <c r="D30" s="2"/>
      <c r="E30" s="4"/>
      <c r="F30" s="4"/>
      <c r="G30" s="2"/>
      <c r="H30" s="6"/>
      <c r="I30" s="6"/>
    </row>
    <row r="31" spans="1:9" ht="15">
      <c r="A31" s="4"/>
      <c r="B31" s="7"/>
      <c r="C31" s="3"/>
      <c r="D31" s="2"/>
      <c r="E31" s="4"/>
      <c r="F31" s="4"/>
      <c r="G31" s="2"/>
      <c r="H31" s="6"/>
      <c r="I31" s="6"/>
    </row>
    <row r="32" spans="1:9" ht="15">
      <c r="A32" s="4"/>
      <c r="B32" s="7"/>
      <c r="C32" s="3"/>
      <c r="D32" s="2"/>
      <c r="E32" s="4"/>
      <c r="F32" s="4"/>
      <c r="G32" s="2"/>
      <c r="H32" s="6"/>
      <c r="I32" s="6"/>
    </row>
    <row r="33" spans="1:9" ht="15">
      <c r="A33" s="4"/>
      <c r="B33" s="7"/>
      <c r="C33" s="3"/>
      <c r="D33" s="2"/>
      <c r="E33" s="4"/>
      <c r="F33" s="4"/>
      <c r="G33" s="2"/>
      <c r="H33" s="6"/>
      <c r="I33" s="6"/>
    </row>
    <row r="34" spans="1:9" ht="15">
      <c r="A34" s="4"/>
      <c r="B34" s="7"/>
      <c r="C34" s="3"/>
      <c r="D34" s="2"/>
      <c r="E34" s="4"/>
      <c r="F34" s="4"/>
      <c r="G34" s="2"/>
      <c r="H34" s="6"/>
      <c r="I34" s="6"/>
    </row>
    <row r="35" spans="1:9" ht="15">
      <c r="A35" s="4"/>
      <c r="B35" s="7"/>
      <c r="C35" s="3"/>
      <c r="D35" s="2"/>
      <c r="E35" s="4"/>
      <c r="F35" s="4"/>
      <c r="G35" s="2"/>
      <c r="H35" s="6"/>
      <c r="I35" s="6"/>
    </row>
    <row r="36" spans="1:9" ht="15">
      <c r="A36" s="4"/>
      <c r="B36" s="7"/>
      <c r="C36" s="3"/>
      <c r="D36" s="2"/>
      <c r="E36" s="4"/>
      <c r="F36" s="4"/>
      <c r="G36" s="2"/>
      <c r="H36" s="6"/>
      <c r="I36" s="6"/>
    </row>
    <row r="37" spans="1:9" ht="15">
      <c r="A37" s="4"/>
      <c r="B37" s="7"/>
      <c r="C37" s="3"/>
      <c r="D37" s="2"/>
      <c r="E37" s="4"/>
      <c r="F37" s="4"/>
      <c r="G37" s="2"/>
      <c r="H37" s="6"/>
      <c r="I37" s="6"/>
    </row>
    <row r="38" spans="1:9" ht="15">
      <c r="A38" s="4"/>
      <c r="B38" s="7"/>
      <c r="C38" s="3"/>
      <c r="D38" s="2"/>
      <c r="E38" s="4"/>
      <c r="F38" s="4"/>
      <c r="G38" s="2"/>
      <c r="H38" s="6"/>
      <c r="I38" s="6"/>
    </row>
    <row r="39" spans="1:9" ht="15">
      <c r="A39" s="4"/>
      <c r="B39" s="7"/>
      <c r="C39" s="3"/>
      <c r="D39" s="2"/>
      <c r="E39" s="4"/>
      <c r="F39" s="4"/>
      <c r="G39" s="2"/>
      <c r="H39" s="6"/>
      <c r="I39" s="6"/>
    </row>
    <row r="683" ht="15"/>
    <row r="684" ht="15"/>
    <row r="685" ht="15"/>
    <row r="686" ht="15"/>
    <row r="687" ht="15"/>
  </sheetData>
  <sheetProtection/>
  <mergeCells count="2">
    <mergeCell ref="B4:E6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53" r:id="rId4"/>
  <customProperties>
    <customPr name="DVSECTIONID" r:id="rId5"/>
  </customPropertie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selection activeCell="B57" sqref="B57"/>
    </sheetView>
  </sheetViews>
  <sheetFormatPr defaultColWidth="11.421875" defaultRowHeight="12.75"/>
  <sheetData>
    <row r="1" spans="1:256" ht="12.75">
      <c r="A1">
        <f>IF('Listado General'!1:1,"AAAAAG5/PwA=",0)</f>
        <v>0</v>
      </c>
      <c r="B1" t="e">
        <f>AND('Listado General'!A1,"AAAAAG5/PwE=")</f>
        <v>#VALUE!</v>
      </c>
      <c r="C1" t="e">
        <f>AND('Listado General'!B1,"AAAAAG5/PwI=")</f>
        <v>#VALUE!</v>
      </c>
      <c r="D1" t="e">
        <f>AND('Listado General'!C1,"AAAAAG5/PwM=")</f>
        <v>#VALUE!</v>
      </c>
      <c r="E1" t="e">
        <f>AND('Listado General'!D1,"AAAAAG5/PwQ=")</f>
        <v>#VALUE!</v>
      </c>
      <c r="F1" t="e">
        <f>AND('Listado General'!E1,"AAAAAG5/PwU=")</f>
        <v>#VALUE!</v>
      </c>
      <c r="G1" t="e">
        <f>AND('Listado General'!F1,"AAAAAG5/PwY=")</f>
        <v>#VALUE!</v>
      </c>
      <c r="H1" t="e">
        <f>AND('Listado General'!H1,"AAAAAG5/Pwc=")</f>
        <v>#VALUE!</v>
      </c>
      <c r="I1" t="e">
        <f>AND('Listado General'!I1,"AAAAAG5/Pwg=")</f>
        <v>#VALUE!</v>
      </c>
      <c r="J1" t="e">
        <f>AND('Listado General'!#REF!,"AAAAAG5/Pwk=")</f>
        <v>#REF!</v>
      </c>
      <c r="K1" t="e">
        <f>AND('Listado General'!J1,"AAAAAG5/Pwo=")</f>
        <v>#VALUE!</v>
      </c>
      <c r="L1" t="e">
        <f>AND('Listado General'!K1,"AAAAAG5/Pws=")</f>
        <v>#VALUE!</v>
      </c>
      <c r="M1" t="e">
        <f>AND('Listado General'!L1,"AAAAAG5/Pww=")</f>
        <v>#VALUE!</v>
      </c>
      <c r="N1" t="e">
        <f>AND('Listado General'!M1,"AAAAAG5/Pw0=")</f>
        <v>#VALUE!</v>
      </c>
      <c r="O1" t="e">
        <f>AND('Listado General'!N1,"AAAAAG5/Pw4=")</f>
        <v>#VALUE!</v>
      </c>
      <c r="P1" t="e">
        <f>AND('Listado General'!O1,"AAAAAG5/Pw8=")</f>
        <v>#VALUE!</v>
      </c>
      <c r="Q1" t="e">
        <f>AND('Listado General'!P1,"AAAAAG5/PxA=")</f>
        <v>#VALUE!</v>
      </c>
      <c r="R1" t="e">
        <f>AND('Listado General'!Q1,"AAAAAG5/PxE=")</f>
        <v>#VALUE!</v>
      </c>
      <c r="S1" t="e">
        <f>AND('Listado General'!R1,"AAAAAG5/PxI=")</f>
        <v>#VALUE!</v>
      </c>
      <c r="T1" t="e">
        <f>AND('Listado General'!S1,"AAAAAG5/PxM=")</f>
        <v>#VALUE!</v>
      </c>
      <c r="U1" t="e">
        <f>AND('Listado General'!T1,"AAAAAG5/PxQ=")</f>
        <v>#VALUE!</v>
      </c>
      <c r="V1" t="e">
        <f>AND('Listado General'!U1,"AAAAAG5/PxU=")</f>
        <v>#VALUE!</v>
      </c>
      <c r="W1" t="e">
        <f>AND('Listado General'!V1,"AAAAAG5/PxY=")</f>
        <v>#VALUE!</v>
      </c>
      <c r="X1" t="e">
        <f>AND('Listado General'!W1,"AAAAAG5/Pxc=")</f>
        <v>#VALUE!</v>
      </c>
      <c r="Y1" t="e">
        <f>AND('Listado General'!X1,"AAAAAG5/Pxg=")</f>
        <v>#VALUE!</v>
      </c>
      <c r="Z1">
        <f>IF('Listado General'!2:2,"AAAAAG5/Pxk=",0)</f>
        <v>0</v>
      </c>
      <c r="AA1" t="e">
        <f>AND('Listado General'!A2,"AAAAAG5/Pxo=")</f>
        <v>#VALUE!</v>
      </c>
      <c r="AB1" t="e">
        <f>AND('Listado General'!B2,"AAAAAG5/Pxs=")</f>
        <v>#VALUE!</v>
      </c>
      <c r="AC1" t="e">
        <f>AND('Listado General'!C2,"AAAAAG5/Pxw=")</f>
        <v>#VALUE!</v>
      </c>
      <c r="AD1" t="e">
        <f>AND('Listado General'!D2,"AAAAAG5/Px0=")</f>
        <v>#VALUE!</v>
      </c>
      <c r="AE1" t="e">
        <f>AND('Listado General'!E2,"AAAAAG5/Px4=")</f>
        <v>#VALUE!</v>
      </c>
      <c r="AF1" t="e">
        <f>AND('Listado General'!F2,"AAAAAG5/Px8=")</f>
        <v>#VALUE!</v>
      </c>
      <c r="AG1" t="e">
        <f>AND('Listado General'!H2,"AAAAAG5/PyA=")</f>
        <v>#VALUE!</v>
      </c>
      <c r="AH1" t="e">
        <f>AND('Listado General'!I2,"AAAAAG5/PyE=")</f>
        <v>#VALUE!</v>
      </c>
      <c r="AI1" t="e">
        <f>AND('Listado General'!#REF!,"AAAAAG5/PyI=")</f>
        <v>#REF!</v>
      </c>
      <c r="AJ1" t="e">
        <f>AND('Listado General'!J2,"AAAAAG5/PyM=")</f>
        <v>#VALUE!</v>
      </c>
      <c r="AK1" t="e">
        <f>AND('Listado General'!K2,"AAAAAG5/PyQ=")</f>
        <v>#VALUE!</v>
      </c>
      <c r="AL1" t="e">
        <f>AND('Listado General'!L2,"AAAAAG5/PyU=")</f>
        <v>#VALUE!</v>
      </c>
      <c r="AM1" t="e">
        <f>AND('Listado General'!M2,"AAAAAG5/PyY=")</f>
        <v>#VALUE!</v>
      </c>
      <c r="AN1" t="e">
        <f>AND('Listado General'!N2,"AAAAAG5/Pyc=")</f>
        <v>#VALUE!</v>
      </c>
      <c r="AO1" t="e">
        <f>AND('Listado General'!O2,"AAAAAG5/Pyg=")</f>
        <v>#VALUE!</v>
      </c>
      <c r="AP1" t="e">
        <f>AND('Listado General'!P2,"AAAAAG5/Pyk=")</f>
        <v>#VALUE!</v>
      </c>
      <c r="AQ1" t="e">
        <f>AND('Listado General'!Q2,"AAAAAG5/Pyo=")</f>
        <v>#VALUE!</v>
      </c>
      <c r="AR1" t="e">
        <f>AND('Listado General'!R2,"AAAAAG5/Pys=")</f>
        <v>#VALUE!</v>
      </c>
      <c r="AS1" t="e">
        <f>AND('Listado General'!S2,"AAAAAG5/Pyw=")</f>
        <v>#VALUE!</v>
      </c>
      <c r="AT1" t="e">
        <f>AND('Listado General'!T2,"AAAAAG5/Py0=")</f>
        <v>#VALUE!</v>
      </c>
      <c r="AU1" t="e">
        <f>AND('Listado General'!U2,"AAAAAG5/Py4=")</f>
        <v>#VALUE!</v>
      </c>
      <c r="AV1" t="e">
        <f>AND('Listado General'!V2,"AAAAAG5/Py8=")</f>
        <v>#VALUE!</v>
      </c>
      <c r="AW1" t="e">
        <f>AND('Listado General'!W2,"AAAAAG5/PzA=")</f>
        <v>#VALUE!</v>
      </c>
      <c r="AX1" t="e">
        <f>AND('Listado General'!X2,"AAAAAG5/PzE=")</f>
        <v>#VALUE!</v>
      </c>
      <c r="AY1">
        <f>IF('Listado General'!3:3,"AAAAAG5/PzI=",0)</f>
        <v>0</v>
      </c>
      <c r="AZ1" t="e">
        <f>AND('Listado General'!A3,"AAAAAG5/PzM=")</f>
        <v>#VALUE!</v>
      </c>
      <c r="BA1" t="e">
        <f>AND('Listado General'!#REF!,"AAAAAG5/PzQ=")</f>
        <v>#REF!</v>
      </c>
      <c r="BB1" t="e">
        <f>AND('Listado General'!C3,"AAAAAG5/PzU=")</f>
        <v>#VALUE!</v>
      </c>
      <c r="BC1" t="e">
        <f>AND('Listado General'!D3,"AAAAAG5/PzY=")</f>
        <v>#VALUE!</v>
      </c>
      <c r="BD1" t="e">
        <f>AND('Listado General'!E3,"AAAAAG5/Pzc=")</f>
        <v>#VALUE!</v>
      </c>
      <c r="BE1" t="e">
        <f>AND('Listado General'!F3,"AAAAAG5/Pzg=")</f>
        <v>#VALUE!</v>
      </c>
      <c r="BF1" t="e">
        <f>AND('Listado General'!H3,"AAAAAG5/Pzk=")</f>
        <v>#VALUE!</v>
      </c>
      <c r="BG1" t="e">
        <f>AND('Listado General'!I3,"AAAAAG5/Pzo=")</f>
        <v>#VALUE!</v>
      </c>
      <c r="BH1" t="e">
        <f>AND('Listado General'!#REF!,"AAAAAG5/Pzs=")</f>
        <v>#REF!</v>
      </c>
      <c r="BI1" t="e">
        <f>AND('Listado General'!J3,"AAAAAG5/Pzw=")</f>
        <v>#VALUE!</v>
      </c>
      <c r="BJ1" t="e">
        <f>AND('Listado General'!K3,"AAAAAG5/Pz0=")</f>
        <v>#VALUE!</v>
      </c>
      <c r="BK1" t="e">
        <f>AND('Listado General'!L3,"AAAAAG5/Pz4=")</f>
        <v>#VALUE!</v>
      </c>
      <c r="BL1" t="e">
        <f>AND('Listado General'!M3,"AAAAAG5/Pz8=")</f>
        <v>#VALUE!</v>
      </c>
      <c r="BM1" t="e">
        <f>AND('Listado General'!N3,"AAAAAG5/P0A=")</f>
        <v>#VALUE!</v>
      </c>
      <c r="BN1" t="e">
        <f>AND('Listado General'!O3,"AAAAAG5/P0E=")</f>
        <v>#VALUE!</v>
      </c>
      <c r="BO1" t="e">
        <f>AND('Listado General'!P3,"AAAAAG5/P0I=")</f>
        <v>#VALUE!</v>
      </c>
      <c r="BP1" t="e">
        <f>AND('Listado General'!Q3,"AAAAAG5/P0M=")</f>
        <v>#VALUE!</v>
      </c>
      <c r="BQ1" t="e">
        <f>AND('Listado General'!R3,"AAAAAG5/P0Q=")</f>
        <v>#VALUE!</v>
      </c>
      <c r="BR1" t="e">
        <f>AND('Listado General'!S3,"AAAAAG5/P0U=")</f>
        <v>#VALUE!</v>
      </c>
      <c r="BS1" t="e">
        <f>AND('Listado General'!T3,"AAAAAG5/P0Y=")</f>
        <v>#VALUE!</v>
      </c>
      <c r="BT1" t="e">
        <f>AND('Listado General'!U3,"AAAAAG5/P0c=")</f>
        <v>#VALUE!</v>
      </c>
      <c r="BU1" t="e">
        <f>AND('Listado General'!V3,"AAAAAG5/P0g=")</f>
        <v>#VALUE!</v>
      </c>
      <c r="BV1" t="e">
        <f>AND('Listado General'!W3,"AAAAAG5/P0k=")</f>
        <v>#VALUE!</v>
      </c>
      <c r="BW1" t="e">
        <f>AND('Listado General'!X3,"AAAAAG5/P0o=")</f>
        <v>#VALUE!</v>
      </c>
      <c r="BX1">
        <f>IF('Listado General'!4:4,"AAAAAG5/P0s=",0)</f>
        <v>0</v>
      </c>
      <c r="BY1" t="e">
        <f>AND('Listado General'!A4,"AAAAAG5/P0w=")</f>
        <v>#VALUE!</v>
      </c>
      <c r="BZ1" t="e">
        <f>AND('Listado General'!#REF!,"AAAAAG5/P00=")</f>
        <v>#REF!</v>
      </c>
      <c r="CA1" t="e">
        <f>AND('Listado General'!C4,"AAAAAG5/P04=")</f>
        <v>#VALUE!</v>
      </c>
      <c r="CB1" t="e">
        <f>AND('Listado General'!D4,"AAAAAG5/P08=")</f>
        <v>#VALUE!</v>
      </c>
      <c r="CC1" t="e">
        <f>AND('Listado General'!E4,"AAAAAG5/P1A=")</f>
        <v>#VALUE!</v>
      </c>
      <c r="CD1" t="e">
        <f>AND('Listado General'!F4,"AAAAAG5/P1E=")</f>
        <v>#VALUE!</v>
      </c>
      <c r="CE1" t="e">
        <f>AND('Listado General'!H4,"AAAAAG5/P1I=")</f>
        <v>#VALUE!</v>
      </c>
      <c r="CF1" t="e">
        <f>AND('Listado General'!I4,"AAAAAG5/P1M=")</f>
        <v>#VALUE!</v>
      </c>
      <c r="CG1" t="e">
        <f>AND('Listado General'!#REF!,"AAAAAG5/P1Q=")</f>
        <v>#REF!</v>
      </c>
      <c r="CH1">
        <f>IF('Listado General'!5:5,"AAAAAG5/P1U=",0)</f>
        <v>0</v>
      </c>
      <c r="CI1" t="e">
        <f>AND('Listado General'!A5,"AAAAAG5/P1Y=")</f>
        <v>#VALUE!</v>
      </c>
      <c r="CJ1" t="e">
        <f>AND('Listado General'!#REF!,"AAAAAG5/P1c=")</f>
        <v>#REF!</v>
      </c>
      <c r="CK1" t="e">
        <f>AND('Listado General'!C5,"AAAAAG5/P1g=")</f>
        <v>#VALUE!</v>
      </c>
      <c r="CL1" t="e">
        <f>AND('Listado General'!D5,"AAAAAG5/P1k=")</f>
        <v>#VALUE!</v>
      </c>
      <c r="CM1" t="e">
        <f>AND('Listado General'!E5,"AAAAAG5/P1o=")</f>
        <v>#VALUE!</v>
      </c>
      <c r="CN1" t="e">
        <f>AND('Listado General'!F5,"AAAAAG5/P1s=")</f>
        <v>#VALUE!</v>
      </c>
      <c r="CO1" t="e">
        <f>AND('Listado General'!H5,"AAAAAG5/P1w=")</f>
        <v>#VALUE!</v>
      </c>
      <c r="CP1" t="e">
        <f>AND('Listado General'!I5,"AAAAAG5/P10=")</f>
        <v>#VALUE!</v>
      </c>
      <c r="CQ1" t="e">
        <f>AND('Listado General'!#REF!,"AAAAAG5/P14=")</f>
        <v>#REF!</v>
      </c>
      <c r="CR1">
        <f>IF('Listado General'!6:6,"AAAAAG5/P18=",0)</f>
        <v>0</v>
      </c>
      <c r="CS1" t="e">
        <f>AND('Listado General'!A6,"AAAAAG5/P2A=")</f>
        <v>#VALUE!</v>
      </c>
      <c r="CT1" t="e">
        <f>AND('Listado General'!B6,"AAAAAG5/P2E=")</f>
        <v>#VALUE!</v>
      </c>
      <c r="CU1" t="e">
        <f>AND('Listado General'!C6,"AAAAAG5/P2I=")</f>
        <v>#VALUE!</v>
      </c>
      <c r="CV1" t="e">
        <f>AND('Listado General'!D6,"AAAAAG5/P2M=")</f>
        <v>#VALUE!</v>
      </c>
      <c r="CW1" t="e">
        <f>AND('Listado General'!E6,"AAAAAG5/P2Q=")</f>
        <v>#VALUE!</v>
      </c>
      <c r="CX1" t="e">
        <f>AND('Listado General'!F6,"AAAAAG5/P2U=")</f>
        <v>#VALUE!</v>
      </c>
      <c r="CY1" t="e">
        <f>AND('Listado General'!H6,"AAAAAG5/P2Y=")</f>
        <v>#VALUE!</v>
      </c>
      <c r="CZ1" t="e">
        <f>AND('Listado General'!I6,"AAAAAG5/P2c=")</f>
        <v>#VALUE!</v>
      </c>
      <c r="DA1" t="e">
        <f>AND('Listado General'!#REF!,"AAAAAG5/P2g=")</f>
        <v>#REF!</v>
      </c>
      <c r="DB1">
        <f>IF('Listado General'!7:7,"AAAAAG5/P2k=",0)</f>
        <v>0</v>
      </c>
      <c r="DC1" t="e">
        <f>AND('Listado General'!A7,"AAAAAG5/P2o=")</f>
        <v>#VALUE!</v>
      </c>
      <c r="DD1" t="e">
        <f>AND('Listado General'!B7,"AAAAAG5/P2s=")</f>
        <v>#VALUE!</v>
      </c>
      <c r="DE1" t="e">
        <f>AND('Listado General'!C7,"AAAAAG5/P2w=")</f>
        <v>#VALUE!</v>
      </c>
      <c r="DF1" t="e">
        <f>AND('Listado General'!D7,"AAAAAG5/P20=")</f>
        <v>#VALUE!</v>
      </c>
      <c r="DG1" t="e">
        <f>AND('Listado General'!E7,"AAAAAG5/P24=")</f>
        <v>#VALUE!</v>
      </c>
      <c r="DH1" t="e">
        <f>AND('Listado General'!F7,"AAAAAG5/P28=")</f>
        <v>#VALUE!</v>
      </c>
      <c r="DI1" t="e">
        <f>AND('Listado General'!H7,"AAAAAG5/P3A=")</f>
        <v>#VALUE!</v>
      </c>
      <c r="DJ1" t="e">
        <f>AND('Listado General'!I7,"AAAAAG5/P3E=")</f>
        <v>#VALUE!</v>
      </c>
      <c r="DK1" t="e">
        <f>AND('Listado General'!#REF!,"AAAAAG5/P3I=")</f>
        <v>#REF!</v>
      </c>
      <c r="DL1">
        <f>IF('Listado General'!9:9,"AAAAAG5/P3M=",0)</f>
        <v>0</v>
      </c>
      <c r="DM1" t="e">
        <f>AND('Listado General'!A9,"AAAAAG5/P3Q=")</f>
        <v>#VALUE!</v>
      </c>
      <c r="DN1" t="e">
        <f>AND('Listado General'!B9,"AAAAAG5/P3U=")</f>
        <v>#VALUE!</v>
      </c>
      <c r="DO1" t="e">
        <f>AND('Listado General'!C9,"AAAAAG5/P3Y=")</f>
        <v>#VALUE!</v>
      </c>
      <c r="DP1" t="e">
        <f>AND('Listado General'!D9,"AAAAAG5/P3c=")</f>
        <v>#VALUE!</v>
      </c>
      <c r="DQ1" t="e">
        <f>AND('Listado General'!E9,"AAAAAG5/P3g=")</f>
        <v>#VALUE!</v>
      </c>
      <c r="DR1" t="e">
        <f>AND('Listado General'!F9,"AAAAAG5/P3k=")</f>
        <v>#VALUE!</v>
      </c>
      <c r="DS1" t="e">
        <f>AND('Listado General'!H9,"AAAAAG5/P3o=")</f>
        <v>#VALUE!</v>
      </c>
      <c r="DT1" t="e">
        <f>AND('Listado General'!I9,"AAAAAG5/P3s=")</f>
        <v>#VALUE!</v>
      </c>
      <c r="DU1" t="e">
        <f>AND('Listado General'!#REF!,"AAAAAG5/P3w=")</f>
        <v>#REF!</v>
      </c>
      <c r="DV1" t="e">
        <f>IF('Listado General'!#REF!,"AAAAAG5/P30=",0)</f>
        <v>#REF!</v>
      </c>
      <c r="DW1" t="e">
        <f>AND('Listado General'!B4,"AAAAAG5/P34=")</f>
        <v>#VALUE!</v>
      </c>
      <c r="DX1" t="e">
        <f>AND('Listado General'!#REF!,"AAAAAG5/P38=")</f>
        <v>#REF!</v>
      </c>
      <c r="DY1" t="e">
        <f>AND('Listado General'!#REF!,"AAAAAG5/P4A=")</f>
        <v>#REF!</v>
      </c>
      <c r="DZ1" t="e">
        <f>AND('Listado General'!#REF!,"AAAAAG5/P4E=")</f>
        <v>#REF!</v>
      </c>
      <c r="EA1" t="e">
        <f>AND('Listado General'!#REF!,"AAAAAG5/P4I=")</f>
        <v>#REF!</v>
      </c>
      <c r="EB1" t="e">
        <f>AND('Listado General'!#REF!,"AAAAAG5/P4M=")</f>
        <v>#REF!</v>
      </c>
      <c r="EC1" t="e">
        <f>AND('Listado General'!#REF!,"AAAAAG5/P4Q=")</f>
        <v>#REF!</v>
      </c>
      <c r="ED1" t="e">
        <f>AND('Listado General'!#REF!,"AAAAAG5/P4U=")</f>
        <v>#REF!</v>
      </c>
      <c r="EE1" t="e">
        <f>AND('Listado General'!#REF!,"AAAAAG5/P4Y=")</f>
        <v>#REF!</v>
      </c>
      <c r="EF1" t="e">
        <f>IF('Listado General'!#REF!,"AAAAAG5/P4c=",0)</f>
        <v>#REF!</v>
      </c>
      <c r="EG1" t="e">
        <f>AND('Listado General'!#REF!,"AAAAAG5/P4g=")</f>
        <v>#REF!</v>
      </c>
      <c r="EH1" t="e">
        <f>AND('Listado General'!#REF!,"AAAAAG5/P4k=")</f>
        <v>#REF!</v>
      </c>
      <c r="EI1" t="e">
        <f>AND('Listado General'!#REF!,"AAAAAG5/P4o=")</f>
        <v>#REF!</v>
      </c>
      <c r="EJ1" t="e">
        <f>AND('Listado General'!#REF!,"AAAAAG5/P4s=")</f>
        <v>#REF!</v>
      </c>
      <c r="EK1" t="e">
        <f>AND('Listado General'!#REF!,"AAAAAG5/P4w=")</f>
        <v>#REF!</v>
      </c>
      <c r="EL1" t="e">
        <f>AND('Listado General'!#REF!,"AAAAAG5/P40=")</f>
        <v>#REF!</v>
      </c>
      <c r="EM1" t="e">
        <f>AND('Listado General'!#REF!,"AAAAAG5/P44=")</f>
        <v>#REF!</v>
      </c>
      <c r="EN1" t="e">
        <f>AND('Listado General'!#REF!,"AAAAAG5/P48=")</f>
        <v>#REF!</v>
      </c>
      <c r="EO1" t="e">
        <f>AND('Listado General'!#REF!,"AAAAAG5/P5A=")</f>
        <v>#REF!</v>
      </c>
      <c r="EP1" t="e">
        <f>IF('Listado General'!#REF!,"AAAAAG5/P5E=",0)</f>
        <v>#REF!</v>
      </c>
      <c r="EQ1" t="e">
        <f>AND('Listado General'!#REF!,"AAAAAG5/P5I=")</f>
        <v>#REF!</v>
      </c>
      <c r="ER1" t="e">
        <f>AND('Listado General'!#REF!,"AAAAAG5/P5M=")</f>
        <v>#REF!</v>
      </c>
      <c r="ES1" t="e">
        <f>AND('Listado General'!#REF!,"AAAAAG5/P5Q=")</f>
        <v>#REF!</v>
      </c>
      <c r="ET1" t="e">
        <f>AND('Listado General'!#REF!,"AAAAAG5/P5U=")</f>
        <v>#REF!</v>
      </c>
      <c r="EU1" t="e">
        <f>AND('Listado General'!#REF!,"AAAAAG5/P5Y=")</f>
        <v>#REF!</v>
      </c>
      <c r="EV1" t="e">
        <f>AND('Listado General'!#REF!,"AAAAAG5/P5c=")</f>
        <v>#REF!</v>
      </c>
      <c r="EW1" t="e">
        <f>AND('Listado General'!#REF!,"AAAAAG5/P5g=")</f>
        <v>#REF!</v>
      </c>
      <c r="EX1" t="e">
        <f>AND('Listado General'!#REF!,"AAAAAG5/P5k=")</f>
        <v>#REF!</v>
      </c>
      <c r="EY1" t="e">
        <f>AND('Listado General'!#REF!,"AAAAAG5/P5o=")</f>
        <v>#REF!</v>
      </c>
      <c r="EZ1" t="e">
        <f>IF('Listado General'!#REF!,"AAAAAG5/P5s=",0)</f>
        <v>#REF!</v>
      </c>
      <c r="FA1" t="e">
        <f>AND('Listado General'!#REF!,"AAAAAG5/P5w=")</f>
        <v>#REF!</v>
      </c>
      <c r="FB1" t="e">
        <f>AND('Listado General'!#REF!,"AAAAAG5/P50=")</f>
        <v>#REF!</v>
      </c>
      <c r="FC1" t="e">
        <f>AND('Listado General'!#REF!,"AAAAAG5/P54=")</f>
        <v>#REF!</v>
      </c>
      <c r="FD1" t="e">
        <f>AND('Listado General'!#REF!,"AAAAAG5/P58=")</f>
        <v>#REF!</v>
      </c>
      <c r="FE1" t="e">
        <f>AND('Listado General'!#REF!,"AAAAAG5/P6A=")</f>
        <v>#REF!</v>
      </c>
      <c r="FF1" t="e">
        <f>AND('Listado General'!#REF!,"AAAAAG5/P6E=")</f>
        <v>#REF!</v>
      </c>
      <c r="FG1" t="e">
        <f>AND('Listado General'!#REF!,"AAAAAG5/P6I=")</f>
        <v>#REF!</v>
      </c>
      <c r="FH1" t="e">
        <f>AND('Listado General'!#REF!,"AAAAAG5/P6M=")</f>
        <v>#REF!</v>
      </c>
      <c r="FI1" t="e">
        <f>AND('Listado General'!#REF!,"AAAAAG5/P6Q=")</f>
        <v>#REF!</v>
      </c>
      <c r="FJ1" t="e">
        <f>IF('Listado General'!#REF!,"AAAAAG5/P6U=",0)</f>
        <v>#REF!</v>
      </c>
      <c r="FK1" t="e">
        <f>AND('Listado General'!#REF!,"AAAAAG5/P6Y=")</f>
        <v>#REF!</v>
      </c>
      <c r="FL1" t="e">
        <f>AND('Listado General'!#REF!,"AAAAAG5/P6c=")</f>
        <v>#REF!</v>
      </c>
      <c r="FM1" t="e">
        <f>AND('Listado General'!#REF!,"AAAAAG5/P6g=")</f>
        <v>#REF!</v>
      </c>
      <c r="FN1" t="e">
        <f>AND('Listado General'!#REF!,"AAAAAG5/P6k=")</f>
        <v>#REF!</v>
      </c>
      <c r="FO1" t="e">
        <f>AND('Listado General'!#REF!,"AAAAAG5/P6o=")</f>
        <v>#REF!</v>
      </c>
      <c r="FP1" t="e">
        <f>AND('Listado General'!#REF!,"AAAAAG5/P6s=")</f>
        <v>#REF!</v>
      </c>
      <c r="FQ1" t="e">
        <f>AND('Listado General'!#REF!,"AAAAAG5/P6w=")</f>
        <v>#REF!</v>
      </c>
      <c r="FR1" t="e">
        <f>AND('Listado General'!#REF!,"AAAAAG5/P60=")</f>
        <v>#REF!</v>
      </c>
      <c r="FS1" t="e">
        <f>AND('Listado General'!#REF!,"AAAAAG5/P64=")</f>
        <v>#REF!</v>
      </c>
      <c r="FT1">
        <f>IF('Listado General'!11:11,"AAAAAG5/P68=",0)</f>
        <v>0</v>
      </c>
      <c r="FU1" t="e">
        <f>AND('Listado General'!#REF!,"AAAAAG5/P7A=")</f>
        <v>#REF!</v>
      </c>
      <c r="FV1" t="e">
        <f>AND('Listado General'!B11,"AAAAAG5/P7E=")</f>
        <v>#VALUE!</v>
      </c>
      <c r="FW1" t="e">
        <f>AND('Listado General'!C11,"AAAAAG5/P7I=")</f>
        <v>#VALUE!</v>
      </c>
      <c r="FX1" t="e">
        <f>AND('Listado General'!D11,"AAAAAG5/P7M=")</f>
        <v>#VALUE!</v>
      </c>
      <c r="FY1" t="e">
        <f>AND('Listado General'!E11,"AAAAAG5/P7Q=")</f>
        <v>#VALUE!</v>
      </c>
      <c r="FZ1" t="e">
        <f>AND('Listado General'!F11,"AAAAAG5/P7U=")</f>
        <v>#VALUE!</v>
      </c>
      <c r="GA1" t="e">
        <f>AND('Listado General'!H11,"AAAAAG5/P7Y=")</f>
        <v>#VALUE!</v>
      </c>
      <c r="GB1" t="e">
        <f>AND('Listado General'!I11,"AAAAAG5/P7c=")</f>
        <v>#VALUE!</v>
      </c>
      <c r="GC1" t="e">
        <f>AND('Listado General'!G11,"AAAAAG5/P7g=")</f>
        <v>#VALUE!</v>
      </c>
      <c r="GD1" t="e">
        <f>IF('Listado General'!#REF!,"AAAAAG5/P7k=",0)</f>
        <v>#REF!</v>
      </c>
      <c r="GE1" t="e">
        <f>AND('Listado General'!A11,"AAAAAG5/P7o=")</f>
        <v>#VALUE!</v>
      </c>
      <c r="GF1" t="e">
        <f>AND('Listado General'!#REF!,"AAAAAG5/P7s=")</f>
        <v>#REF!</v>
      </c>
      <c r="GG1" t="e">
        <f>AND('Listado General'!#REF!,"AAAAAG5/P7w=")</f>
        <v>#REF!</v>
      </c>
      <c r="GH1" t="e">
        <f>AND('Listado General'!#REF!,"AAAAAG5/P70=")</f>
        <v>#REF!</v>
      </c>
      <c r="GI1" t="e">
        <f>AND('Listado General'!#REF!,"AAAAAG5/P74=")</f>
        <v>#REF!</v>
      </c>
      <c r="GJ1" t="e">
        <f>AND('Listado General'!#REF!,"AAAAAG5/P78=")</f>
        <v>#REF!</v>
      </c>
      <c r="GK1" t="e">
        <f>AND('Listado General'!#REF!,"AAAAAG5/P8A=")</f>
        <v>#REF!</v>
      </c>
      <c r="GL1" t="e">
        <f>AND('Listado General'!#REF!,"AAAAAG5/P8E=")</f>
        <v>#REF!</v>
      </c>
      <c r="GM1" t="e">
        <f>AND('Listado General'!#REF!,"AAAAAG5/P8I=")</f>
        <v>#REF!</v>
      </c>
      <c r="GN1" t="e">
        <f>IF('Listado General'!#REF!,"AAAAAG5/P8M=",0)</f>
        <v>#REF!</v>
      </c>
      <c r="GO1" t="e">
        <f>AND('Listado General'!B3,"AAAAAG5/P8Q=")</f>
        <v>#VALUE!</v>
      </c>
      <c r="GP1" t="e">
        <f>AND('Listado General'!#REF!,"AAAAAG5/P8U=")</f>
        <v>#REF!</v>
      </c>
      <c r="GQ1" t="e">
        <f>AND('Listado General'!#REF!,"AAAAAG5/P8Y=")</f>
        <v>#REF!</v>
      </c>
      <c r="GR1" t="e">
        <f>AND('Listado General'!#REF!,"AAAAAG5/P8c=")</f>
        <v>#REF!</v>
      </c>
      <c r="GS1" t="e">
        <f>AND('Listado General'!#REF!,"AAAAAG5/P8g=")</f>
        <v>#REF!</v>
      </c>
      <c r="GT1" t="e">
        <f>AND('Listado General'!#REF!,"AAAAAG5/P8k=")</f>
        <v>#REF!</v>
      </c>
      <c r="GU1" t="e">
        <f>AND('Listado General'!#REF!,"AAAAAG5/P8o=")</f>
        <v>#REF!</v>
      </c>
      <c r="GV1" t="e">
        <f>AND('Listado General'!#REF!,"AAAAAG5/P8s=")</f>
        <v>#REF!</v>
      </c>
      <c r="GW1" t="e">
        <f>AND('Listado General'!#REF!,"AAAAAG5/P8w=")</f>
        <v>#REF!</v>
      </c>
      <c r="GX1" t="e">
        <f>IF('Listado General'!#REF!,"AAAAAG5/P80=",0)</f>
        <v>#REF!</v>
      </c>
      <c r="GY1" t="e">
        <f>AND('Listado General'!B5,"AAAAAG5/P84=")</f>
        <v>#VALUE!</v>
      </c>
      <c r="GZ1" t="e">
        <f>AND('Listado General'!#REF!,"AAAAAG5/P88=")</f>
        <v>#REF!</v>
      </c>
      <c r="HA1" t="e">
        <f>AND('Listado General'!#REF!,"AAAAAG5/P9A=")</f>
        <v>#REF!</v>
      </c>
      <c r="HB1" t="e">
        <f>AND('Listado General'!#REF!,"AAAAAG5/P9E=")</f>
        <v>#REF!</v>
      </c>
      <c r="HC1" t="e">
        <f>AND('Listado General'!#REF!,"AAAAAG5/P9I=")</f>
        <v>#REF!</v>
      </c>
      <c r="HD1" t="e">
        <f>AND('Listado General'!#REF!,"AAAAAG5/P9M=")</f>
        <v>#REF!</v>
      </c>
      <c r="HE1" t="e">
        <f>AND('Listado General'!#REF!,"AAAAAG5/P9Q=")</f>
        <v>#REF!</v>
      </c>
      <c r="HF1" t="e">
        <f>AND('Listado General'!#REF!,"AAAAAG5/P9U=")</f>
        <v>#REF!</v>
      </c>
      <c r="HG1" t="e">
        <f>AND('Listado General'!#REF!,"AAAAAG5/P9Y=")</f>
        <v>#REF!</v>
      </c>
      <c r="HH1" t="e">
        <f>IF('Listado General'!#REF!,"AAAAAG5/P9c=",0)</f>
        <v>#REF!</v>
      </c>
      <c r="HI1" t="e">
        <f>AND('Listado General'!#REF!,"AAAAAG5/P9g=")</f>
        <v>#REF!</v>
      </c>
      <c r="HJ1" t="e">
        <f>AND('Listado General'!#REF!,"AAAAAG5/P9k=")</f>
        <v>#REF!</v>
      </c>
      <c r="HK1" t="e">
        <f>AND('Listado General'!#REF!,"AAAAAG5/P9o=")</f>
        <v>#REF!</v>
      </c>
      <c r="HL1" t="e">
        <f>AND('Listado General'!#REF!,"AAAAAG5/P9s=")</f>
        <v>#REF!</v>
      </c>
      <c r="HM1" t="e">
        <f>AND('Listado General'!#REF!,"AAAAAG5/P9w=")</f>
        <v>#REF!</v>
      </c>
      <c r="HN1" t="e">
        <f>AND('Listado General'!#REF!,"AAAAAG5/P90=")</f>
        <v>#REF!</v>
      </c>
      <c r="HO1" t="e">
        <f>AND('Listado General'!#REF!,"AAAAAG5/P94=")</f>
        <v>#REF!</v>
      </c>
      <c r="HP1" t="e">
        <f>AND('Listado General'!#REF!,"AAAAAG5/P98=")</f>
        <v>#REF!</v>
      </c>
      <c r="HQ1" t="e">
        <f>AND('Listado General'!#REF!,"AAAAAG5/P+A=")</f>
        <v>#REF!</v>
      </c>
      <c r="HR1" t="e">
        <f>IF('Listado General'!#REF!,"AAAAAG5/P+E=",0)</f>
        <v>#REF!</v>
      </c>
      <c r="HS1" t="e">
        <f>AND('Listado General'!#REF!,"AAAAAG5/P+I=")</f>
        <v>#REF!</v>
      </c>
      <c r="HT1" t="e">
        <f>AND('Listado General'!#REF!,"AAAAAG5/P+M=")</f>
        <v>#REF!</v>
      </c>
      <c r="HU1" t="e">
        <f>AND('Listado General'!#REF!,"AAAAAG5/P+Q=")</f>
        <v>#REF!</v>
      </c>
      <c r="HV1" t="e">
        <f>AND('Listado General'!#REF!,"AAAAAG5/P+U=")</f>
        <v>#REF!</v>
      </c>
      <c r="HW1" t="e">
        <f>AND('Listado General'!#REF!,"AAAAAG5/P+Y=")</f>
        <v>#REF!</v>
      </c>
      <c r="HX1" t="e">
        <f>AND('Listado General'!#REF!,"AAAAAG5/P+c=")</f>
        <v>#REF!</v>
      </c>
      <c r="HY1" t="e">
        <f>AND('Listado General'!#REF!,"AAAAAG5/P+g=")</f>
        <v>#REF!</v>
      </c>
      <c r="HZ1" t="e">
        <f>AND('Listado General'!#REF!,"AAAAAG5/P+k=")</f>
        <v>#REF!</v>
      </c>
      <c r="IA1" t="e">
        <f>AND('Listado General'!#REF!,"AAAAAG5/P+o=")</f>
        <v>#REF!</v>
      </c>
      <c r="IB1" t="e">
        <f>IF('Listado General'!#REF!,"AAAAAG5/P+s=",0)</f>
        <v>#REF!</v>
      </c>
      <c r="IC1" t="e">
        <f>AND('Listado General'!#REF!,"AAAAAG5/P+w=")</f>
        <v>#REF!</v>
      </c>
      <c r="ID1" t="e">
        <f>AND('Listado General'!#REF!,"AAAAAG5/P+0=")</f>
        <v>#REF!</v>
      </c>
      <c r="IE1" t="e">
        <f>AND('Listado General'!#REF!,"AAAAAG5/P+4=")</f>
        <v>#REF!</v>
      </c>
      <c r="IF1" t="e">
        <f>AND('Listado General'!#REF!,"AAAAAG5/P+8=")</f>
        <v>#REF!</v>
      </c>
      <c r="IG1" t="e">
        <f>AND('Listado General'!#REF!,"AAAAAG5/P/A=")</f>
        <v>#REF!</v>
      </c>
      <c r="IH1" t="e">
        <f>AND('Listado General'!#REF!,"AAAAAG5/P/E=")</f>
        <v>#REF!</v>
      </c>
      <c r="II1" t="e">
        <f>AND('Listado General'!#REF!,"AAAAAG5/P/I=")</f>
        <v>#REF!</v>
      </c>
      <c r="IJ1" t="e">
        <f>AND('Listado General'!#REF!,"AAAAAG5/P/M=")</f>
        <v>#REF!</v>
      </c>
      <c r="IK1" t="e">
        <f>AND('Listado General'!#REF!,"AAAAAG5/P/Q=")</f>
        <v>#REF!</v>
      </c>
      <c r="IL1" t="e">
        <f>IF('Listado General'!#REF!,"AAAAAG5/P/U=",0)</f>
        <v>#REF!</v>
      </c>
      <c r="IM1" t="e">
        <f>AND('Listado General'!#REF!,"AAAAAG5/P/Y=")</f>
        <v>#REF!</v>
      </c>
      <c r="IN1" t="e">
        <f>AND('Listado General'!#REF!,"AAAAAG5/P/c=")</f>
        <v>#REF!</v>
      </c>
      <c r="IO1" t="e">
        <f>AND('Listado General'!#REF!,"AAAAAG5/P/g=")</f>
        <v>#REF!</v>
      </c>
      <c r="IP1" t="e">
        <f>AND('Listado General'!#REF!,"AAAAAG5/P/k=")</f>
        <v>#REF!</v>
      </c>
      <c r="IQ1" t="e">
        <f>AND('Listado General'!#REF!,"AAAAAG5/P/o=")</f>
        <v>#REF!</v>
      </c>
      <c r="IR1" t="e">
        <f>AND('Listado General'!#REF!,"AAAAAG5/P/s=")</f>
        <v>#REF!</v>
      </c>
      <c r="IS1" t="e">
        <f>AND('Listado General'!#REF!,"AAAAAG5/P/w=")</f>
        <v>#REF!</v>
      </c>
      <c r="IT1" t="e">
        <f>AND('Listado General'!#REF!,"AAAAAG5/P/0=")</f>
        <v>#REF!</v>
      </c>
      <c r="IU1" t="e">
        <f>AND('Listado General'!#REF!,"AAAAAG5/P/4=")</f>
        <v>#REF!</v>
      </c>
      <c r="IV1" t="e">
        <f>IF('Listado General'!#REF!,"AAAAAG5/P/8=",0)</f>
        <v>#REF!</v>
      </c>
    </row>
    <row r="2" spans="1:256" ht="12.75">
      <c r="A2" t="e">
        <f>AND('Listado General'!#REF!,"AAAAAEG6pAA=")</f>
        <v>#REF!</v>
      </c>
      <c r="B2" t="e">
        <f>AND('Listado General'!#REF!,"AAAAAEG6pAE=")</f>
        <v>#REF!</v>
      </c>
      <c r="C2" t="e">
        <f>AND('Listado General'!#REF!,"AAAAAEG6pAI=")</f>
        <v>#REF!</v>
      </c>
      <c r="D2" t="e">
        <f>AND('Listado General'!#REF!,"AAAAAEG6pAM=")</f>
        <v>#REF!</v>
      </c>
      <c r="E2" t="e">
        <f>AND('Listado General'!#REF!,"AAAAAEG6pAQ=")</f>
        <v>#REF!</v>
      </c>
      <c r="F2" t="e">
        <f>AND('Listado General'!#REF!,"AAAAAEG6pAU=")</f>
        <v>#REF!</v>
      </c>
      <c r="G2" t="e">
        <f>AND('Listado General'!#REF!,"AAAAAEG6pAY=")</f>
        <v>#REF!</v>
      </c>
      <c r="H2" t="e">
        <f>AND('Listado General'!#REF!,"AAAAAEG6pAc=")</f>
        <v>#REF!</v>
      </c>
      <c r="I2" t="e">
        <f>AND('Listado General'!#REF!,"AAAAAEG6pAg=")</f>
        <v>#REF!</v>
      </c>
      <c r="J2" t="e">
        <f>IF('Listado General'!#REF!,"AAAAAEG6pAk=",0)</f>
        <v>#REF!</v>
      </c>
      <c r="K2" t="e">
        <f>AND('Listado General'!#REF!,"AAAAAEG6pAo=")</f>
        <v>#REF!</v>
      </c>
      <c r="L2" t="e">
        <f>AND('Listado General'!#REF!,"AAAAAEG6pAs=")</f>
        <v>#REF!</v>
      </c>
      <c r="M2" t="e">
        <f>AND('Listado General'!#REF!,"AAAAAEG6pAw=")</f>
        <v>#REF!</v>
      </c>
      <c r="N2" t="e">
        <f>AND('Listado General'!#REF!,"AAAAAEG6pA0=")</f>
        <v>#REF!</v>
      </c>
      <c r="O2" t="e">
        <f>AND('Listado General'!#REF!,"AAAAAEG6pA4=")</f>
        <v>#REF!</v>
      </c>
      <c r="P2" t="e">
        <f>AND('Listado General'!#REF!,"AAAAAEG6pA8=")</f>
        <v>#REF!</v>
      </c>
      <c r="Q2" t="e">
        <f>AND('Listado General'!#REF!,"AAAAAEG6pBA=")</f>
        <v>#REF!</v>
      </c>
      <c r="R2" t="e">
        <f>AND('Listado General'!#REF!,"AAAAAEG6pBE=")</f>
        <v>#REF!</v>
      </c>
      <c r="S2" t="e">
        <f>AND('Listado General'!#REF!,"AAAAAEG6pBI=")</f>
        <v>#REF!</v>
      </c>
      <c r="T2" t="e">
        <f>IF('Listado General'!#REF!,"AAAAAEG6pBM=",0)</f>
        <v>#REF!</v>
      </c>
      <c r="U2" t="e">
        <f>AND('Listado General'!#REF!,"AAAAAEG6pBQ=")</f>
        <v>#REF!</v>
      </c>
      <c r="V2" t="e">
        <f>AND('Listado General'!#REF!,"AAAAAEG6pBU=")</f>
        <v>#REF!</v>
      </c>
      <c r="W2" t="e">
        <f>AND('Listado General'!#REF!,"AAAAAEG6pBY=")</f>
        <v>#REF!</v>
      </c>
      <c r="X2" t="e">
        <f>AND('Listado General'!#REF!,"AAAAAEG6pBc=")</f>
        <v>#REF!</v>
      </c>
      <c r="Y2" t="e">
        <f>AND('Listado General'!#REF!,"AAAAAEG6pBg=")</f>
        <v>#REF!</v>
      </c>
      <c r="Z2" t="e">
        <f>AND('Listado General'!#REF!,"AAAAAEG6pBk=")</f>
        <v>#REF!</v>
      </c>
      <c r="AA2" t="e">
        <f>AND('Listado General'!#REF!,"AAAAAEG6pBo=")</f>
        <v>#REF!</v>
      </c>
      <c r="AB2" t="e">
        <f>AND('Listado General'!#REF!,"AAAAAEG6pBs=")</f>
        <v>#REF!</v>
      </c>
      <c r="AC2" t="e">
        <f>AND('Listado General'!#REF!,"AAAAAEG6pBw=")</f>
        <v>#REF!</v>
      </c>
      <c r="AD2" t="e">
        <f>IF('Listado General'!#REF!,"AAAAAEG6pB0=",0)</f>
        <v>#REF!</v>
      </c>
      <c r="AE2" t="e">
        <f>AND('Listado General'!#REF!,"AAAAAEG6pB4=")</f>
        <v>#REF!</v>
      </c>
      <c r="AF2" t="e">
        <f>AND('Listado General'!#REF!,"AAAAAEG6pB8=")</f>
        <v>#REF!</v>
      </c>
      <c r="AG2" t="e">
        <f>AND('Listado General'!#REF!,"AAAAAEG6pCA=")</f>
        <v>#REF!</v>
      </c>
      <c r="AH2" t="e">
        <f>AND('Listado General'!#REF!,"AAAAAEG6pCE=")</f>
        <v>#REF!</v>
      </c>
      <c r="AI2" t="e">
        <f>AND('Listado General'!#REF!,"AAAAAEG6pCI=")</f>
        <v>#REF!</v>
      </c>
      <c r="AJ2" t="e">
        <f>AND('Listado General'!#REF!,"AAAAAEG6pCM=")</f>
        <v>#REF!</v>
      </c>
      <c r="AK2" t="e">
        <f>AND('Listado General'!#REF!,"AAAAAEG6pCQ=")</f>
        <v>#REF!</v>
      </c>
      <c r="AL2" t="e">
        <f>AND('Listado General'!#REF!,"AAAAAEG6pCU=")</f>
        <v>#REF!</v>
      </c>
      <c r="AM2" t="e">
        <f>AND('Listado General'!#REF!,"AAAAAEG6pCY=")</f>
        <v>#REF!</v>
      </c>
      <c r="AN2" t="e">
        <f>IF('Listado General'!#REF!,"AAAAAEG6pCc=",0)</f>
        <v>#REF!</v>
      </c>
      <c r="AO2" t="e">
        <f>AND('Listado General'!#REF!,"AAAAAEG6pCg=")</f>
        <v>#REF!</v>
      </c>
      <c r="AP2" t="e">
        <f>AND('Listado General'!#REF!,"AAAAAEG6pCk=")</f>
        <v>#REF!</v>
      </c>
      <c r="AQ2" t="e">
        <f>AND('Listado General'!#REF!,"AAAAAEG6pCo=")</f>
        <v>#REF!</v>
      </c>
      <c r="AR2" t="e">
        <f>AND('Listado General'!#REF!,"AAAAAEG6pCs=")</f>
        <v>#REF!</v>
      </c>
      <c r="AS2" t="e">
        <f>AND('Listado General'!#REF!,"AAAAAEG6pCw=")</f>
        <v>#REF!</v>
      </c>
      <c r="AT2" t="e">
        <f>AND('Listado General'!#REF!,"AAAAAEG6pC0=")</f>
        <v>#REF!</v>
      </c>
      <c r="AU2" t="e">
        <f>AND('Listado General'!#REF!,"AAAAAEG6pC4=")</f>
        <v>#REF!</v>
      </c>
      <c r="AV2" t="e">
        <f>AND('Listado General'!#REF!,"AAAAAEG6pC8=")</f>
        <v>#REF!</v>
      </c>
      <c r="AW2" t="e">
        <f>AND('Listado General'!#REF!,"AAAAAEG6pDA=")</f>
        <v>#REF!</v>
      </c>
      <c r="AX2" t="e">
        <f>IF('Listado General'!#REF!,"AAAAAEG6pDE=",0)</f>
        <v>#REF!</v>
      </c>
      <c r="AY2" t="e">
        <f>AND('Listado General'!#REF!,"AAAAAEG6pDI=")</f>
        <v>#REF!</v>
      </c>
      <c r="AZ2" t="e">
        <f>AND('Listado General'!#REF!,"AAAAAEG6pDM=")</f>
        <v>#REF!</v>
      </c>
      <c r="BA2" t="e">
        <f>AND('Listado General'!#REF!,"AAAAAEG6pDQ=")</f>
        <v>#REF!</v>
      </c>
      <c r="BB2" t="e">
        <f>AND('Listado General'!#REF!,"AAAAAEG6pDU=")</f>
        <v>#REF!</v>
      </c>
      <c r="BC2" t="e">
        <f>AND('Listado General'!#REF!,"AAAAAEG6pDY=")</f>
        <v>#REF!</v>
      </c>
      <c r="BD2" t="e">
        <f>AND('Listado General'!#REF!,"AAAAAEG6pDc=")</f>
        <v>#REF!</v>
      </c>
      <c r="BE2" t="e">
        <f>AND('Listado General'!#REF!,"AAAAAEG6pDg=")</f>
        <v>#REF!</v>
      </c>
      <c r="BF2" t="e">
        <f>AND('Listado General'!#REF!,"AAAAAEG6pDk=")</f>
        <v>#REF!</v>
      </c>
      <c r="BG2" t="e">
        <f>AND('Listado General'!#REF!,"AAAAAEG6pDo=")</f>
        <v>#REF!</v>
      </c>
      <c r="BH2" t="e">
        <f>IF('Listado General'!#REF!,"AAAAAEG6pDs=",0)</f>
        <v>#REF!</v>
      </c>
      <c r="BI2" t="e">
        <f>AND('Listado General'!#REF!,"AAAAAEG6pDw=")</f>
        <v>#REF!</v>
      </c>
      <c r="BJ2" t="e">
        <f>AND('Listado General'!#REF!,"AAAAAEG6pD0=")</f>
        <v>#REF!</v>
      </c>
      <c r="BK2" t="e">
        <f>AND('Listado General'!#REF!,"AAAAAEG6pD4=")</f>
        <v>#REF!</v>
      </c>
      <c r="BL2" t="e">
        <f>AND('Listado General'!#REF!,"AAAAAEG6pD8=")</f>
        <v>#REF!</v>
      </c>
      <c r="BM2" t="e">
        <f>AND('Listado General'!#REF!,"AAAAAEG6pEA=")</f>
        <v>#REF!</v>
      </c>
      <c r="BN2" t="e">
        <f>AND('Listado General'!#REF!,"AAAAAEG6pEE=")</f>
        <v>#REF!</v>
      </c>
      <c r="BO2" t="e">
        <f>AND('Listado General'!#REF!,"AAAAAEG6pEI=")</f>
        <v>#REF!</v>
      </c>
      <c r="BP2" t="e">
        <f>AND('Listado General'!#REF!,"AAAAAEG6pEM=")</f>
        <v>#REF!</v>
      </c>
      <c r="BQ2" t="e">
        <f>AND('Listado General'!#REF!,"AAAAAEG6pEQ=")</f>
        <v>#REF!</v>
      </c>
      <c r="BR2" t="e">
        <f>IF('Listado General'!#REF!,"AAAAAEG6pEU=",0)</f>
        <v>#REF!</v>
      </c>
      <c r="BS2" t="e">
        <f>AND('Listado General'!#REF!,"AAAAAEG6pEY=")</f>
        <v>#REF!</v>
      </c>
      <c r="BT2" t="e">
        <f>AND('Listado General'!#REF!,"AAAAAEG6pEc=")</f>
        <v>#REF!</v>
      </c>
      <c r="BU2" t="e">
        <f>AND('Listado General'!#REF!,"AAAAAEG6pEg=")</f>
        <v>#REF!</v>
      </c>
      <c r="BV2" t="e">
        <f>AND('Listado General'!#REF!,"AAAAAEG6pEk=")</f>
        <v>#REF!</v>
      </c>
      <c r="BW2" t="e">
        <f>AND('Listado General'!#REF!,"AAAAAEG6pEo=")</f>
        <v>#REF!</v>
      </c>
      <c r="BX2" t="e">
        <f>AND('Listado General'!#REF!,"AAAAAEG6pEs=")</f>
        <v>#REF!</v>
      </c>
      <c r="BY2" t="e">
        <f>AND('Listado General'!#REF!,"AAAAAEG6pEw=")</f>
        <v>#REF!</v>
      </c>
      <c r="BZ2" t="e">
        <f>AND('Listado General'!#REF!,"AAAAAEG6pE0=")</f>
        <v>#REF!</v>
      </c>
      <c r="CA2" t="e">
        <f>AND('Listado General'!#REF!,"AAAAAEG6pE4=")</f>
        <v>#REF!</v>
      </c>
      <c r="CB2" t="e">
        <f>IF('Listado General'!#REF!,"AAAAAEG6pE8=",0)</f>
        <v>#REF!</v>
      </c>
      <c r="CC2" t="e">
        <f>AND('Listado General'!#REF!,"AAAAAEG6pFA=")</f>
        <v>#REF!</v>
      </c>
      <c r="CD2" t="e">
        <f>AND('Listado General'!#REF!,"AAAAAEG6pFE=")</f>
        <v>#REF!</v>
      </c>
      <c r="CE2" t="e">
        <f>AND('Listado General'!#REF!,"AAAAAEG6pFI=")</f>
        <v>#REF!</v>
      </c>
      <c r="CF2" t="e">
        <f>AND('Listado General'!#REF!,"AAAAAEG6pFM=")</f>
        <v>#REF!</v>
      </c>
      <c r="CG2" t="e">
        <f>AND('Listado General'!#REF!,"AAAAAEG6pFQ=")</f>
        <v>#REF!</v>
      </c>
      <c r="CH2" t="e">
        <f>AND('Listado General'!#REF!,"AAAAAEG6pFU=")</f>
        <v>#REF!</v>
      </c>
      <c r="CI2" t="e">
        <f>AND('Listado General'!#REF!,"AAAAAEG6pFY=")</f>
        <v>#REF!</v>
      </c>
      <c r="CJ2" t="e">
        <f>AND('Listado General'!#REF!,"AAAAAEG6pFc=")</f>
        <v>#REF!</v>
      </c>
      <c r="CK2" t="e">
        <f>AND('Listado General'!#REF!,"AAAAAEG6pFg=")</f>
        <v>#REF!</v>
      </c>
      <c r="CL2" t="e">
        <f>IF('Listado General'!#REF!,"AAAAAEG6pFk=",0)</f>
        <v>#REF!</v>
      </c>
      <c r="CM2" t="e">
        <f>AND('Listado General'!#REF!,"AAAAAEG6pFo=")</f>
        <v>#REF!</v>
      </c>
      <c r="CN2" t="e">
        <f>AND('Listado General'!#REF!,"AAAAAEG6pFs=")</f>
        <v>#REF!</v>
      </c>
      <c r="CO2" t="e">
        <f>AND('Listado General'!#REF!,"AAAAAEG6pFw=")</f>
        <v>#REF!</v>
      </c>
      <c r="CP2" t="e">
        <f>AND('Listado General'!#REF!,"AAAAAEG6pF0=")</f>
        <v>#REF!</v>
      </c>
      <c r="CQ2" t="e">
        <f>AND('Listado General'!#REF!,"AAAAAEG6pF4=")</f>
        <v>#REF!</v>
      </c>
      <c r="CR2" t="e">
        <f>AND('Listado General'!#REF!,"AAAAAEG6pF8=")</f>
        <v>#REF!</v>
      </c>
      <c r="CS2" t="e">
        <f>AND('Listado General'!#REF!,"AAAAAEG6pGA=")</f>
        <v>#REF!</v>
      </c>
      <c r="CT2" t="e">
        <f>AND('Listado General'!#REF!,"AAAAAEG6pGE=")</f>
        <v>#REF!</v>
      </c>
      <c r="CU2" t="e">
        <f>AND('Listado General'!#REF!,"AAAAAEG6pGI=")</f>
        <v>#REF!</v>
      </c>
      <c r="CV2" t="e">
        <f>IF('Listado General'!#REF!,"AAAAAEG6pGM=",0)</f>
        <v>#REF!</v>
      </c>
      <c r="CW2" t="e">
        <f>AND('Listado General'!#REF!,"AAAAAEG6pGQ=")</f>
        <v>#REF!</v>
      </c>
      <c r="CX2" t="e">
        <f>AND('Listado General'!#REF!,"AAAAAEG6pGU=")</f>
        <v>#REF!</v>
      </c>
      <c r="CY2" t="e">
        <f>AND('Listado General'!#REF!,"AAAAAEG6pGY=")</f>
        <v>#REF!</v>
      </c>
      <c r="CZ2" t="e">
        <f>AND('Listado General'!#REF!,"AAAAAEG6pGc=")</f>
        <v>#REF!</v>
      </c>
      <c r="DA2" t="e">
        <f>AND('Listado General'!#REF!,"AAAAAEG6pGg=")</f>
        <v>#REF!</v>
      </c>
      <c r="DB2" t="e">
        <f>AND('Listado General'!#REF!,"AAAAAEG6pGk=")</f>
        <v>#REF!</v>
      </c>
      <c r="DC2" t="e">
        <f>AND('Listado General'!#REF!,"AAAAAEG6pGo=")</f>
        <v>#REF!</v>
      </c>
      <c r="DD2" t="e">
        <f>AND('Listado General'!#REF!,"AAAAAEG6pGs=")</f>
        <v>#REF!</v>
      </c>
      <c r="DE2" t="e">
        <f>AND('Listado General'!#REF!,"AAAAAEG6pGw=")</f>
        <v>#REF!</v>
      </c>
      <c r="DF2" t="e">
        <f>IF('Listado General'!#REF!,"AAAAAEG6pG0=",0)</f>
        <v>#REF!</v>
      </c>
      <c r="DG2" t="e">
        <f>AND('Listado General'!#REF!,"AAAAAEG6pG4=")</f>
        <v>#REF!</v>
      </c>
      <c r="DH2" t="e">
        <f>AND('Listado General'!#REF!,"AAAAAEG6pG8=")</f>
        <v>#REF!</v>
      </c>
      <c r="DI2" t="e">
        <f>AND('Listado General'!#REF!,"AAAAAEG6pHA=")</f>
        <v>#REF!</v>
      </c>
      <c r="DJ2" t="e">
        <f>AND('Listado General'!#REF!,"AAAAAEG6pHE=")</f>
        <v>#REF!</v>
      </c>
      <c r="DK2" t="e">
        <f>AND('Listado General'!#REF!,"AAAAAEG6pHI=")</f>
        <v>#REF!</v>
      </c>
      <c r="DL2" t="e">
        <f>AND('Listado General'!#REF!,"AAAAAEG6pHM=")</f>
        <v>#REF!</v>
      </c>
      <c r="DM2" t="e">
        <f>AND('Listado General'!#REF!,"AAAAAEG6pHQ=")</f>
        <v>#REF!</v>
      </c>
      <c r="DN2" t="e">
        <f>AND('Listado General'!#REF!,"AAAAAEG6pHU=")</f>
        <v>#REF!</v>
      </c>
      <c r="DO2" t="e">
        <f>AND('Listado General'!#REF!,"AAAAAEG6pHY=")</f>
        <v>#REF!</v>
      </c>
      <c r="DP2" t="e">
        <f>IF('Listado General'!#REF!,"AAAAAEG6pHc=",0)</f>
        <v>#REF!</v>
      </c>
      <c r="DQ2" t="e">
        <f>AND('Listado General'!#REF!,"AAAAAEG6pHg=")</f>
        <v>#REF!</v>
      </c>
      <c r="DR2" t="e">
        <f>AND('Listado General'!#REF!,"AAAAAEG6pHk=")</f>
        <v>#REF!</v>
      </c>
      <c r="DS2" t="e">
        <f>AND('Listado General'!#REF!,"AAAAAEG6pHo=")</f>
        <v>#REF!</v>
      </c>
      <c r="DT2" t="e">
        <f>AND('Listado General'!#REF!,"AAAAAEG6pHs=")</f>
        <v>#REF!</v>
      </c>
      <c r="DU2" t="e">
        <f>AND('Listado General'!#REF!,"AAAAAEG6pHw=")</f>
        <v>#REF!</v>
      </c>
      <c r="DV2" t="e">
        <f>AND('Listado General'!#REF!,"AAAAAEG6pH0=")</f>
        <v>#REF!</v>
      </c>
      <c r="DW2" t="e">
        <f>AND('Listado General'!#REF!,"AAAAAEG6pH4=")</f>
        <v>#REF!</v>
      </c>
      <c r="DX2" t="e">
        <f>AND('Listado General'!#REF!,"AAAAAEG6pH8=")</f>
        <v>#REF!</v>
      </c>
      <c r="DY2" t="e">
        <f>AND('Listado General'!#REF!,"AAAAAEG6pIA=")</f>
        <v>#REF!</v>
      </c>
      <c r="DZ2" t="e">
        <f>IF('Listado General'!#REF!,"AAAAAEG6pIE=",0)</f>
        <v>#REF!</v>
      </c>
      <c r="EA2" t="e">
        <f>AND('Listado General'!#REF!,"AAAAAEG6pII=")</f>
        <v>#REF!</v>
      </c>
      <c r="EB2" t="e">
        <f>AND('Listado General'!#REF!,"AAAAAEG6pIM=")</f>
        <v>#REF!</v>
      </c>
      <c r="EC2" t="e">
        <f>AND('Listado General'!#REF!,"AAAAAEG6pIQ=")</f>
        <v>#REF!</v>
      </c>
      <c r="ED2" t="e">
        <f>AND('Listado General'!#REF!,"AAAAAEG6pIU=")</f>
        <v>#REF!</v>
      </c>
      <c r="EE2" t="e">
        <f>AND('Listado General'!#REF!,"AAAAAEG6pIY=")</f>
        <v>#REF!</v>
      </c>
      <c r="EF2" t="e">
        <f>AND('Listado General'!#REF!,"AAAAAEG6pIc=")</f>
        <v>#REF!</v>
      </c>
      <c r="EG2" t="e">
        <f>AND('Listado General'!#REF!,"AAAAAEG6pIg=")</f>
        <v>#REF!</v>
      </c>
      <c r="EH2" t="e">
        <f>AND('Listado General'!#REF!,"AAAAAEG6pIk=")</f>
        <v>#REF!</v>
      </c>
      <c r="EI2" t="e">
        <f>AND('Listado General'!#REF!,"AAAAAEG6pIo=")</f>
        <v>#REF!</v>
      </c>
      <c r="EJ2" t="e">
        <f>IF('Listado General'!#REF!,"AAAAAEG6pIs=",0)</f>
        <v>#REF!</v>
      </c>
      <c r="EK2" t="e">
        <f>AND('Listado General'!#REF!,"AAAAAEG6pIw=")</f>
        <v>#REF!</v>
      </c>
      <c r="EL2" t="e">
        <f>AND('Listado General'!#REF!,"AAAAAEG6pI0=")</f>
        <v>#REF!</v>
      </c>
      <c r="EM2" t="e">
        <f>AND('Listado General'!#REF!,"AAAAAEG6pI4=")</f>
        <v>#REF!</v>
      </c>
      <c r="EN2" t="e">
        <f>AND('Listado General'!#REF!,"AAAAAEG6pI8=")</f>
        <v>#REF!</v>
      </c>
      <c r="EO2" t="e">
        <f>AND('Listado General'!#REF!,"AAAAAEG6pJA=")</f>
        <v>#REF!</v>
      </c>
      <c r="EP2" t="e">
        <f>AND('Listado General'!#REF!,"AAAAAEG6pJE=")</f>
        <v>#REF!</v>
      </c>
      <c r="EQ2" t="e">
        <f>AND('Listado General'!#REF!,"AAAAAEG6pJI=")</f>
        <v>#REF!</v>
      </c>
      <c r="ER2" t="e">
        <f>AND('Listado General'!#REF!,"AAAAAEG6pJM=")</f>
        <v>#REF!</v>
      </c>
      <c r="ES2" t="e">
        <f>AND('Listado General'!#REF!,"AAAAAEG6pJQ=")</f>
        <v>#REF!</v>
      </c>
      <c r="ET2" t="e">
        <f>IF('Listado General'!#REF!,"AAAAAEG6pJU=",0)</f>
        <v>#REF!</v>
      </c>
      <c r="EU2" t="e">
        <f>AND('Listado General'!#REF!,"AAAAAEG6pJY=")</f>
        <v>#REF!</v>
      </c>
      <c r="EV2" t="e">
        <f>AND('Listado General'!#REF!,"AAAAAEG6pJc=")</f>
        <v>#REF!</v>
      </c>
      <c r="EW2" t="e">
        <f>AND('Listado General'!#REF!,"AAAAAEG6pJg=")</f>
        <v>#REF!</v>
      </c>
      <c r="EX2" t="e">
        <f>AND('Listado General'!#REF!,"AAAAAEG6pJk=")</f>
        <v>#REF!</v>
      </c>
      <c r="EY2" t="e">
        <f>AND('Listado General'!#REF!,"AAAAAEG6pJo=")</f>
        <v>#REF!</v>
      </c>
      <c r="EZ2" t="e">
        <f>AND('Listado General'!#REF!,"AAAAAEG6pJs=")</f>
        <v>#REF!</v>
      </c>
      <c r="FA2" t="e">
        <f>AND('Listado General'!#REF!,"AAAAAEG6pJw=")</f>
        <v>#REF!</v>
      </c>
      <c r="FB2" t="e">
        <f>AND('Listado General'!#REF!,"AAAAAEG6pJ0=")</f>
        <v>#REF!</v>
      </c>
      <c r="FC2" t="e">
        <f>AND('Listado General'!#REF!,"AAAAAEG6pJ4=")</f>
        <v>#REF!</v>
      </c>
      <c r="FD2" t="e">
        <f>IF('Listado General'!#REF!,"AAAAAEG6pJ8=",0)</f>
        <v>#REF!</v>
      </c>
      <c r="FE2" t="e">
        <f>AND('Listado General'!#REF!,"AAAAAEG6pKA=")</f>
        <v>#REF!</v>
      </c>
      <c r="FF2" t="e">
        <f>AND('Listado General'!#REF!,"AAAAAEG6pKE=")</f>
        <v>#REF!</v>
      </c>
      <c r="FG2" t="e">
        <f>AND('Listado General'!#REF!,"AAAAAEG6pKI=")</f>
        <v>#REF!</v>
      </c>
      <c r="FH2" t="e">
        <f>AND('Listado General'!#REF!,"AAAAAEG6pKM=")</f>
        <v>#REF!</v>
      </c>
      <c r="FI2" t="e">
        <f>AND('Listado General'!#REF!,"AAAAAEG6pKQ=")</f>
        <v>#REF!</v>
      </c>
      <c r="FJ2" t="e">
        <f>AND('Listado General'!#REF!,"AAAAAEG6pKU=")</f>
        <v>#REF!</v>
      </c>
      <c r="FK2" t="e">
        <f>AND('Listado General'!#REF!,"AAAAAEG6pKY=")</f>
        <v>#REF!</v>
      </c>
      <c r="FL2" t="e">
        <f>AND('Listado General'!#REF!,"AAAAAEG6pKc=")</f>
        <v>#REF!</v>
      </c>
      <c r="FM2" t="e">
        <f>AND('Listado General'!#REF!,"AAAAAEG6pKg=")</f>
        <v>#REF!</v>
      </c>
      <c r="FN2" t="e">
        <f>IF('Listado General'!#REF!,"AAAAAEG6pKk=",0)</f>
        <v>#REF!</v>
      </c>
      <c r="FO2" t="e">
        <f>AND('Listado General'!#REF!,"AAAAAEG6pKo=")</f>
        <v>#REF!</v>
      </c>
      <c r="FP2" t="e">
        <f>AND('Listado General'!#REF!,"AAAAAEG6pKs=")</f>
        <v>#REF!</v>
      </c>
      <c r="FQ2" t="e">
        <f>AND('Listado General'!#REF!,"AAAAAEG6pKw=")</f>
        <v>#REF!</v>
      </c>
      <c r="FR2" t="e">
        <f>AND('Listado General'!#REF!,"AAAAAEG6pK0=")</f>
        <v>#REF!</v>
      </c>
      <c r="FS2" t="e">
        <f>AND('Listado General'!#REF!,"AAAAAEG6pK4=")</f>
        <v>#REF!</v>
      </c>
      <c r="FT2" t="e">
        <f>AND('Listado General'!#REF!,"AAAAAEG6pK8=")</f>
        <v>#REF!</v>
      </c>
      <c r="FU2" t="e">
        <f>AND('Listado General'!#REF!,"AAAAAEG6pLA=")</f>
        <v>#REF!</v>
      </c>
      <c r="FV2" t="e">
        <f>AND('Listado General'!#REF!,"AAAAAEG6pLE=")</f>
        <v>#REF!</v>
      </c>
      <c r="FW2" t="e">
        <f>AND('Listado General'!#REF!,"AAAAAEG6pLI=")</f>
        <v>#REF!</v>
      </c>
      <c r="FX2" t="e">
        <f>IF('Listado General'!#REF!,"AAAAAEG6pLM=",0)</f>
        <v>#REF!</v>
      </c>
      <c r="FY2" t="e">
        <f>AND('Listado General'!#REF!,"AAAAAEG6pLQ=")</f>
        <v>#REF!</v>
      </c>
      <c r="FZ2" t="e">
        <f>AND('Listado General'!#REF!,"AAAAAEG6pLU=")</f>
        <v>#REF!</v>
      </c>
      <c r="GA2" t="e">
        <f>AND('Listado General'!#REF!,"AAAAAEG6pLY=")</f>
        <v>#REF!</v>
      </c>
      <c r="GB2" t="e">
        <f>AND('Listado General'!#REF!,"AAAAAEG6pLc=")</f>
        <v>#REF!</v>
      </c>
      <c r="GC2" t="e">
        <f>AND('Listado General'!#REF!,"AAAAAEG6pLg=")</f>
        <v>#REF!</v>
      </c>
      <c r="GD2" t="e">
        <f>AND('Listado General'!#REF!,"AAAAAEG6pLk=")</f>
        <v>#REF!</v>
      </c>
      <c r="GE2" t="e">
        <f>AND('Listado General'!#REF!,"AAAAAEG6pLo=")</f>
        <v>#REF!</v>
      </c>
      <c r="GF2" t="e">
        <f>AND('Listado General'!#REF!,"AAAAAEG6pLs=")</f>
        <v>#REF!</v>
      </c>
      <c r="GG2" t="e">
        <f>AND('Listado General'!#REF!,"AAAAAEG6pLw=")</f>
        <v>#REF!</v>
      </c>
      <c r="GH2" t="e">
        <f>IF('Listado General'!#REF!,"AAAAAEG6pL0=",0)</f>
        <v>#REF!</v>
      </c>
      <c r="GI2" t="e">
        <f>AND('Listado General'!#REF!,"AAAAAEG6pL4=")</f>
        <v>#REF!</v>
      </c>
      <c r="GJ2" t="e">
        <f>AND('Listado General'!#REF!,"AAAAAEG6pL8=")</f>
        <v>#REF!</v>
      </c>
      <c r="GK2" t="e">
        <f>AND('Listado General'!#REF!,"AAAAAEG6pMA=")</f>
        <v>#REF!</v>
      </c>
      <c r="GL2" t="e">
        <f>AND('Listado General'!#REF!,"AAAAAEG6pME=")</f>
        <v>#REF!</v>
      </c>
      <c r="GM2" t="e">
        <f>AND('Listado General'!#REF!,"AAAAAEG6pMI=")</f>
        <v>#REF!</v>
      </c>
      <c r="GN2" t="e">
        <f>AND('Listado General'!#REF!,"AAAAAEG6pMM=")</f>
        <v>#REF!</v>
      </c>
      <c r="GO2" t="e">
        <f>AND('Listado General'!#REF!,"AAAAAEG6pMQ=")</f>
        <v>#REF!</v>
      </c>
      <c r="GP2" t="e">
        <f>AND('Listado General'!#REF!,"AAAAAEG6pMU=")</f>
        <v>#REF!</v>
      </c>
      <c r="GQ2" t="e">
        <f>AND('Listado General'!#REF!,"AAAAAEG6pMY=")</f>
        <v>#REF!</v>
      </c>
      <c r="GR2" t="e">
        <f>IF('Listado General'!#REF!,"AAAAAEG6pMc=",0)</f>
        <v>#REF!</v>
      </c>
      <c r="GS2" t="e">
        <f>AND('Listado General'!#REF!,"AAAAAEG6pMg=")</f>
        <v>#REF!</v>
      </c>
      <c r="GT2" t="e">
        <f>AND('Listado General'!#REF!,"AAAAAEG6pMk=")</f>
        <v>#REF!</v>
      </c>
      <c r="GU2" t="e">
        <f>AND('Listado General'!#REF!,"AAAAAEG6pMo=")</f>
        <v>#REF!</v>
      </c>
      <c r="GV2" t="e">
        <f>AND('Listado General'!#REF!,"AAAAAEG6pMs=")</f>
        <v>#REF!</v>
      </c>
      <c r="GW2" t="e">
        <f>AND('Listado General'!#REF!,"AAAAAEG6pMw=")</f>
        <v>#REF!</v>
      </c>
      <c r="GX2" t="e">
        <f>AND('Listado General'!#REF!,"AAAAAEG6pM0=")</f>
        <v>#REF!</v>
      </c>
      <c r="GY2" t="e">
        <f>AND('Listado General'!#REF!,"AAAAAEG6pM4=")</f>
        <v>#REF!</v>
      </c>
      <c r="GZ2" t="e">
        <f>AND('Listado General'!#REF!,"AAAAAEG6pM8=")</f>
        <v>#REF!</v>
      </c>
      <c r="HA2" t="e">
        <f>AND('Listado General'!#REF!,"AAAAAEG6pNA=")</f>
        <v>#REF!</v>
      </c>
      <c r="HB2" t="e">
        <f>IF('Listado General'!#REF!,"AAAAAEG6pNE=",0)</f>
        <v>#REF!</v>
      </c>
      <c r="HC2" t="e">
        <f>AND('Listado General'!#REF!,"AAAAAEG6pNI=")</f>
        <v>#REF!</v>
      </c>
      <c r="HD2" t="e">
        <f>AND('Listado General'!#REF!,"AAAAAEG6pNM=")</f>
        <v>#REF!</v>
      </c>
      <c r="HE2" t="e">
        <f>AND('Listado General'!#REF!,"AAAAAEG6pNQ=")</f>
        <v>#REF!</v>
      </c>
      <c r="HF2" t="e">
        <f>AND('Listado General'!#REF!,"AAAAAEG6pNU=")</f>
        <v>#REF!</v>
      </c>
      <c r="HG2" t="e">
        <f>AND('Listado General'!#REF!,"AAAAAEG6pNY=")</f>
        <v>#REF!</v>
      </c>
      <c r="HH2" t="e">
        <f>AND('Listado General'!#REF!,"AAAAAEG6pNc=")</f>
        <v>#REF!</v>
      </c>
      <c r="HI2" t="e">
        <f>AND('Listado General'!#REF!,"AAAAAEG6pNg=")</f>
        <v>#REF!</v>
      </c>
      <c r="HJ2" t="e">
        <f>AND('Listado General'!#REF!,"AAAAAEG6pNk=")</f>
        <v>#REF!</v>
      </c>
      <c r="HK2" t="e">
        <f>AND('Listado General'!#REF!,"AAAAAEG6pNo=")</f>
        <v>#REF!</v>
      </c>
      <c r="HL2" t="e">
        <f>IF('Listado General'!#REF!,"AAAAAEG6pNs=",0)</f>
        <v>#REF!</v>
      </c>
      <c r="HM2" t="e">
        <f>AND('Listado General'!#REF!,"AAAAAEG6pNw=")</f>
        <v>#REF!</v>
      </c>
      <c r="HN2" t="e">
        <f>AND('Listado General'!#REF!,"AAAAAEG6pN0=")</f>
        <v>#REF!</v>
      </c>
      <c r="HO2" t="e">
        <f>AND('Listado General'!#REF!,"AAAAAEG6pN4=")</f>
        <v>#REF!</v>
      </c>
      <c r="HP2" t="e">
        <f>AND('Listado General'!#REF!,"AAAAAEG6pN8=")</f>
        <v>#REF!</v>
      </c>
      <c r="HQ2" t="e">
        <f>AND('Listado General'!#REF!,"AAAAAEG6pOA=")</f>
        <v>#REF!</v>
      </c>
      <c r="HR2" t="e">
        <f>AND('Listado General'!#REF!,"AAAAAEG6pOE=")</f>
        <v>#REF!</v>
      </c>
      <c r="HS2" t="e">
        <f>AND('Listado General'!#REF!,"AAAAAEG6pOI=")</f>
        <v>#REF!</v>
      </c>
      <c r="HT2" t="e">
        <f>AND('Listado General'!#REF!,"AAAAAEG6pOM=")</f>
        <v>#REF!</v>
      </c>
      <c r="HU2" t="e">
        <f>AND('Listado General'!#REF!,"AAAAAEG6pOQ=")</f>
        <v>#REF!</v>
      </c>
      <c r="HV2" t="e">
        <f>IF('Listado General'!#REF!,"AAAAAEG6pOU=",0)</f>
        <v>#REF!</v>
      </c>
      <c r="HW2" t="e">
        <f>AND('Listado General'!#REF!,"AAAAAEG6pOY=")</f>
        <v>#REF!</v>
      </c>
      <c r="HX2" t="e">
        <f>AND('Listado General'!#REF!,"AAAAAEG6pOc=")</f>
        <v>#REF!</v>
      </c>
      <c r="HY2" t="e">
        <f>AND('Listado General'!#REF!,"AAAAAEG6pOg=")</f>
        <v>#REF!</v>
      </c>
      <c r="HZ2" t="e">
        <f>AND('Listado General'!#REF!,"AAAAAEG6pOk=")</f>
        <v>#REF!</v>
      </c>
      <c r="IA2" t="e">
        <f>AND('Listado General'!#REF!,"AAAAAEG6pOo=")</f>
        <v>#REF!</v>
      </c>
      <c r="IB2" t="e">
        <f>AND('Listado General'!#REF!,"AAAAAEG6pOs=")</f>
        <v>#REF!</v>
      </c>
      <c r="IC2" t="e">
        <f>AND('Listado General'!#REF!,"AAAAAEG6pOw=")</f>
        <v>#REF!</v>
      </c>
      <c r="ID2" t="e">
        <f>AND('Listado General'!#REF!,"AAAAAEG6pO0=")</f>
        <v>#REF!</v>
      </c>
      <c r="IE2" t="e">
        <f>AND('Listado General'!#REF!,"AAAAAEG6pO4=")</f>
        <v>#REF!</v>
      </c>
      <c r="IF2" t="e">
        <f>IF('Listado General'!#REF!,"AAAAAEG6pO8=",0)</f>
        <v>#REF!</v>
      </c>
      <c r="IG2" t="e">
        <f>AND('Listado General'!#REF!,"AAAAAEG6pPA=")</f>
        <v>#REF!</v>
      </c>
      <c r="IH2" t="e">
        <f>AND('Listado General'!#REF!,"AAAAAEG6pPE=")</f>
        <v>#REF!</v>
      </c>
      <c r="II2" t="e">
        <f>AND('Listado General'!#REF!,"AAAAAEG6pPI=")</f>
        <v>#REF!</v>
      </c>
      <c r="IJ2" t="e">
        <f>AND('Listado General'!#REF!,"AAAAAEG6pPM=")</f>
        <v>#REF!</v>
      </c>
      <c r="IK2" t="e">
        <f>AND('Listado General'!#REF!,"AAAAAEG6pPQ=")</f>
        <v>#REF!</v>
      </c>
      <c r="IL2" t="e">
        <f>AND('Listado General'!#REF!,"AAAAAEG6pPU=")</f>
        <v>#REF!</v>
      </c>
      <c r="IM2" t="e">
        <f>AND('Listado General'!#REF!,"AAAAAEG6pPY=")</f>
        <v>#REF!</v>
      </c>
      <c r="IN2" t="e">
        <f>AND('Listado General'!#REF!,"AAAAAEG6pPc=")</f>
        <v>#REF!</v>
      </c>
      <c r="IO2" t="e">
        <f>AND('Listado General'!#REF!,"AAAAAEG6pPg=")</f>
        <v>#REF!</v>
      </c>
      <c r="IP2" t="e">
        <f>IF('Listado General'!#REF!,"AAAAAEG6pPk=",0)</f>
        <v>#REF!</v>
      </c>
      <c r="IQ2" t="e">
        <f>AND('Listado General'!#REF!,"AAAAAEG6pPo=")</f>
        <v>#REF!</v>
      </c>
      <c r="IR2" t="e">
        <f>AND('Listado General'!#REF!,"AAAAAEG6pPs=")</f>
        <v>#REF!</v>
      </c>
      <c r="IS2" t="e">
        <f>AND('Listado General'!#REF!,"AAAAAEG6pPw=")</f>
        <v>#REF!</v>
      </c>
      <c r="IT2" t="e">
        <f>AND('Listado General'!#REF!,"AAAAAEG6pP0=")</f>
        <v>#REF!</v>
      </c>
      <c r="IU2" t="e">
        <f>AND('Listado General'!#REF!,"AAAAAEG6pP4=")</f>
        <v>#REF!</v>
      </c>
      <c r="IV2" t="e">
        <f>AND('Listado General'!#REF!,"AAAAAEG6pP8=")</f>
        <v>#REF!</v>
      </c>
    </row>
    <row r="3" spans="1:256" ht="12.75">
      <c r="A3" t="e">
        <f>AND('Listado General'!#REF!,"AAAAAAd3zQA=")</f>
        <v>#REF!</v>
      </c>
      <c r="B3" t="e">
        <f>AND('Listado General'!#REF!,"AAAAAAd3zQE=")</f>
        <v>#REF!</v>
      </c>
      <c r="C3" t="e">
        <f>AND('Listado General'!#REF!,"AAAAAAd3zQI=")</f>
        <v>#REF!</v>
      </c>
      <c r="D3" t="e">
        <f>IF('Listado General'!#REF!,"AAAAAAd3zQM=",0)</f>
        <v>#REF!</v>
      </c>
      <c r="E3" t="e">
        <f>AND('Listado General'!#REF!,"AAAAAAd3zQQ=")</f>
        <v>#REF!</v>
      </c>
      <c r="F3" t="e">
        <f>AND('Listado General'!#REF!,"AAAAAAd3zQU=")</f>
        <v>#REF!</v>
      </c>
      <c r="G3" t="e">
        <f>AND('Listado General'!#REF!,"AAAAAAd3zQY=")</f>
        <v>#REF!</v>
      </c>
      <c r="H3" t="e">
        <f>AND('Listado General'!#REF!,"AAAAAAd3zQc=")</f>
        <v>#REF!</v>
      </c>
      <c r="I3" t="e">
        <f>AND('Listado General'!#REF!,"AAAAAAd3zQg=")</f>
        <v>#REF!</v>
      </c>
      <c r="J3" t="e">
        <f>AND('Listado General'!#REF!,"AAAAAAd3zQk=")</f>
        <v>#REF!</v>
      </c>
      <c r="K3" t="e">
        <f>AND('Listado General'!#REF!,"AAAAAAd3zQo=")</f>
        <v>#REF!</v>
      </c>
      <c r="L3" t="e">
        <f>AND('Listado General'!#REF!,"AAAAAAd3zQs=")</f>
        <v>#REF!</v>
      </c>
      <c r="M3" t="e">
        <f>AND('Listado General'!#REF!,"AAAAAAd3zQw=")</f>
        <v>#REF!</v>
      </c>
      <c r="N3" t="e">
        <f>IF('Listado General'!#REF!,"AAAAAAd3zQ0=",0)</f>
        <v>#REF!</v>
      </c>
      <c r="O3" t="e">
        <f>AND('Listado General'!#REF!,"AAAAAAd3zQ4=")</f>
        <v>#REF!</v>
      </c>
      <c r="P3" t="e">
        <f>AND('Listado General'!#REF!,"AAAAAAd3zQ8=")</f>
        <v>#REF!</v>
      </c>
      <c r="Q3" t="e">
        <f>AND('Listado General'!#REF!,"AAAAAAd3zRA=")</f>
        <v>#REF!</v>
      </c>
      <c r="R3" t="e">
        <f>AND('Listado General'!#REF!,"AAAAAAd3zRE=")</f>
        <v>#REF!</v>
      </c>
      <c r="S3" t="e">
        <f>AND('Listado General'!#REF!,"AAAAAAd3zRI=")</f>
        <v>#REF!</v>
      </c>
      <c r="T3" t="e">
        <f>AND('Listado General'!#REF!,"AAAAAAd3zRM=")</f>
        <v>#REF!</v>
      </c>
      <c r="U3" t="e">
        <f>AND('Listado General'!#REF!,"AAAAAAd3zRQ=")</f>
        <v>#REF!</v>
      </c>
      <c r="V3" t="e">
        <f>AND('Listado General'!#REF!,"AAAAAAd3zRU=")</f>
        <v>#REF!</v>
      </c>
      <c r="W3" t="e">
        <f>AND('Listado General'!#REF!,"AAAAAAd3zRY=")</f>
        <v>#REF!</v>
      </c>
      <c r="X3" t="e">
        <f>IF('Listado General'!#REF!,"AAAAAAd3zRc=",0)</f>
        <v>#REF!</v>
      </c>
      <c r="Y3" t="e">
        <f>AND('Listado General'!#REF!,"AAAAAAd3zRg=")</f>
        <v>#REF!</v>
      </c>
      <c r="Z3" t="e">
        <f>AND('Listado General'!#REF!,"AAAAAAd3zRk=")</f>
        <v>#REF!</v>
      </c>
      <c r="AA3" t="e">
        <f>AND('Listado General'!#REF!,"AAAAAAd3zRo=")</f>
        <v>#REF!</v>
      </c>
      <c r="AB3" t="e">
        <f>AND('Listado General'!#REF!,"AAAAAAd3zRs=")</f>
        <v>#REF!</v>
      </c>
      <c r="AC3" t="e">
        <f>AND('Listado General'!#REF!,"AAAAAAd3zRw=")</f>
        <v>#REF!</v>
      </c>
      <c r="AD3" t="e">
        <f>AND('Listado General'!#REF!,"AAAAAAd3zR0=")</f>
        <v>#REF!</v>
      </c>
      <c r="AE3" t="e">
        <f>AND('Listado General'!#REF!,"AAAAAAd3zR4=")</f>
        <v>#REF!</v>
      </c>
      <c r="AF3" t="e">
        <f>AND('Listado General'!#REF!,"AAAAAAd3zR8=")</f>
        <v>#REF!</v>
      </c>
      <c r="AG3" t="e">
        <f>AND('Listado General'!#REF!,"AAAAAAd3zSA=")</f>
        <v>#REF!</v>
      </c>
      <c r="AH3" t="e">
        <f>IF('Listado General'!#REF!,"AAAAAAd3zSE=",0)</f>
        <v>#REF!</v>
      </c>
      <c r="AI3" t="e">
        <f>AND('Listado General'!#REF!,"AAAAAAd3zSI=")</f>
        <v>#REF!</v>
      </c>
      <c r="AJ3" t="e">
        <f>AND('Listado General'!#REF!,"AAAAAAd3zSM=")</f>
        <v>#REF!</v>
      </c>
      <c r="AK3" t="e">
        <f>AND('Listado General'!#REF!,"AAAAAAd3zSQ=")</f>
        <v>#REF!</v>
      </c>
      <c r="AL3" t="e">
        <f>AND('Listado General'!#REF!,"AAAAAAd3zSU=")</f>
        <v>#REF!</v>
      </c>
      <c r="AM3" t="e">
        <f>AND('Listado General'!#REF!,"AAAAAAd3zSY=")</f>
        <v>#REF!</v>
      </c>
      <c r="AN3" t="e">
        <f>AND('Listado General'!#REF!,"AAAAAAd3zSc=")</f>
        <v>#REF!</v>
      </c>
      <c r="AO3" t="e">
        <f>AND('Listado General'!#REF!,"AAAAAAd3zSg=")</f>
        <v>#REF!</v>
      </c>
      <c r="AP3" t="e">
        <f>AND('Listado General'!#REF!,"AAAAAAd3zSk=")</f>
        <v>#REF!</v>
      </c>
      <c r="AQ3" t="e">
        <f>AND('Listado General'!#REF!,"AAAAAAd3zSo=")</f>
        <v>#REF!</v>
      </c>
      <c r="AR3" t="e">
        <f>IF('Listado General'!#REF!,"AAAAAAd3zSs=",0)</f>
        <v>#REF!</v>
      </c>
      <c r="AS3" t="e">
        <f>AND('Listado General'!#REF!,"AAAAAAd3zSw=")</f>
        <v>#REF!</v>
      </c>
      <c r="AT3" t="e">
        <f>AND('Listado General'!#REF!,"AAAAAAd3zS0=")</f>
        <v>#REF!</v>
      </c>
      <c r="AU3" t="e">
        <f>AND('Listado General'!#REF!,"AAAAAAd3zS4=")</f>
        <v>#REF!</v>
      </c>
      <c r="AV3" t="e">
        <f>AND('Listado General'!#REF!,"AAAAAAd3zS8=")</f>
        <v>#REF!</v>
      </c>
      <c r="AW3" t="e">
        <f>AND('Listado General'!#REF!,"AAAAAAd3zTA=")</f>
        <v>#REF!</v>
      </c>
      <c r="AX3" t="e">
        <f>AND('Listado General'!#REF!,"AAAAAAd3zTE=")</f>
        <v>#REF!</v>
      </c>
      <c r="AY3" t="e">
        <f>AND('Listado General'!#REF!,"AAAAAAd3zTI=")</f>
        <v>#REF!</v>
      </c>
      <c r="AZ3" t="e">
        <f>AND('Listado General'!#REF!,"AAAAAAd3zTM=")</f>
        <v>#REF!</v>
      </c>
      <c r="BA3" t="e">
        <f>AND('Listado General'!#REF!,"AAAAAAd3zTQ=")</f>
        <v>#REF!</v>
      </c>
      <c r="BB3" t="e">
        <f>IF('Listado General'!#REF!,"AAAAAAd3zTU=",0)</f>
        <v>#REF!</v>
      </c>
      <c r="BC3" t="e">
        <f>AND('Listado General'!#REF!,"AAAAAAd3zTY=")</f>
        <v>#REF!</v>
      </c>
      <c r="BD3" t="e">
        <f>AND('Listado General'!#REF!,"AAAAAAd3zTc=")</f>
        <v>#REF!</v>
      </c>
      <c r="BE3" t="e">
        <f>AND('Listado General'!#REF!,"AAAAAAd3zTg=")</f>
        <v>#REF!</v>
      </c>
      <c r="BF3" t="e">
        <f>AND('Listado General'!#REF!,"AAAAAAd3zTk=")</f>
        <v>#REF!</v>
      </c>
      <c r="BG3" t="e">
        <f>AND('Listado General'!#REF!,"AAAAAAd3zTo=")</f>
        <v>#REF!</v>
      </c>
      <c r="BH3" t="e">
        <f>AND('Listado General'!#REF!,"AAAAAAd3zTs=")</f>
        <v>#REF!</v>
      </c>
      <c r="BI3" t="e">
        <f>AND('Listado General'!#REF!,"AAAAAAd3zTw=")</f>
        <v>#REF!</v>
      </c>
      <c r="BJ3" t="e">
        <f>AND('Listado General'!#REF!,"AAAAAAd3zT0=")</f>
        <v>#REF!</v>
      </c>
      <c r="BK3" t="e">
        <f>AND('Listado General'!#REF!,"AAAAAAd3zT4=")</f>
        <v>#REF!</v>
      </c>
      <c r="BL3" t="e">
        <f>IF('Listado General'!#REF!,"AAAAAAd3zT8=",0)</f>
        <v>#REF!</v>
      </c>
      <c r="BM3" t="e">
        <f>AND('Listado General'!#REF!,"AAAAAAd3zUA=")</f>
        <v>#REF!</v>
      </c>
      <c r="BN3" t="e">
        <f>AND('Listado General'!#REF!,"AAAAAAd3zUE=")</f>
        <v>#REF!</v>
      </c>
      <c r="BO3" t="e">
        <f>AND('Listado General'!#REF!,"AAAAAAd3zUI=")</f>
        <v>#REF!</v>
      </c>
      <c r="BP3" t="e">
        <f>AND('Listado General'!#REF!,"AAAAAAd3zUM=")</f>
        <v>#REF!</v>
      </c>
      <c r="BQ3" t="e">
        <f>AND('Listado General'!#REF!,"AAAAAAd3zUQ=")</f>
        <v>#REF!</v>
      </c>
      <c r="BR3" t="e">
        <f>AND('Listado General'!#REF!,"AAAAAAd3zUU=")</f>
        <v>#REF!</v>
      </c>
      <c r="BS3" t="e">
        <f>AND('Listado General'!#REF!,"AAAAAAd3zUY=")</f>
        <v>#REF!</v>
      </c>
      <c r="BT3" t="e">
        <f>AND('Listado General'!#REF!,"AAAAAAd3zUc=")</f>
        <v>#REF!</v>
      </c>
      <c r="BU3" t="e">
        <f>AND('Listado General'!#REF!,"AAAAAAd3zUg=")</f>
        <v>#REF!</v>
      </c>
      <c r="BV3" t="e">
        <f>IF('Listado General'!#REF!,"AAAAAAd3zUk=",0)</f>
        <v>#REF!</v>
      </c>
      <c r="BW3" t="e">
        <f>AND('Listado General'!#REF!,"AAAAAAd3zUo=")</f>
        <v>#REF!</v>
      </c>
      <c r="BX3" t="e">
        <f>AND('Listado General'!#REF!,"AAAAAAd3zUs=")</f>
        <v>#REF!</v>
      </c>
      <c r="BY3" t="e">
        <f>AND('Listado General'!#REF!,"AAAAAAd3zUw=")</f>
        <v>#REF!</v>
      </c>
      <c r="BZ3" t="e">
        <f>AND('Listado General'!#REF!,"AAAAAAd3zU0=")</f>
        <v>#REF!</v>
      </c>
      <c r="CA3" t="e">
        <f>AND('Listado General'!#REF!,"AAAAAAd3zU4=")</f>
        <v>#REF!</v>
      </c>
      <c r="CB3" t="e">
        <f>AND('Listado General'!#REF!,"AAAAAAd3zU8=")</f>
        <v>#REF!</v>
      </c>
      <c r="CC3" t="e">
        <f>AND('Listado General'!#REF!,"AAAAAAd3zVA=")</f>
        <v>#REF!</v>
      </c>
      <c r="CD3" t="e">
        <f>AND('Listado General'!#REF!,"AAAAAAd3zVE=")</f>
        <v>#REF!</v>
      </c>
      <c r="CE3" t="e">
        <f>AND('Listado General'!#REF!,"AAAAAAd3zVI=")</f>
        <v>#REF!</v>
      </c>
      <c r="CF3" t="e">
        <f>IF('Listado General'!#REF!,"AAAAAAd3zVM=",0)</f>
        <v>#REF!</v>
      </c>
      <c r="CG3" t="e">
        <f>AND('Listado General'!#REF!,"AAAAAAd3zVQ=")</f>
        <v>#REF!</v>
      </c>
      <c r="CH3" t="e">
        <f>AND('Listado General'!#REF!,"AAAAAAd3zVU=")</f>
        <v>#REF!</v>
      </c>
      <c r="CI3" t="e">
        <f>AND('Listado General'!#REF!,"AAAAAAd3zVY=")</f>
        <v>#REF!</v>
      </c>
      <c r="CJ3" t="e">
        <f>AND('Listado General'!#REF!,"AAAAAAd3zVc=")</f>
        <v>#REF!</v>
      </c>
      <c r="CK3" t="e">
        <f>AND('Listado General'!#REF!,"AAAAAAd3zVg=")</f>
        <v>#REF!</v>
      </c>
      <c r="CL3" t="e">
        <f>AND('Listado General'!#REF!,"AAAAAAd3zVk=")</f>
        <v>#REF!</v>
      </c>
      <c r="CM3" t="e">
        <f>AND('Listado General'!#REF!,"AAAAAAd3zVo=")</f>
        <v>#REF!</v>
      </c>
      <c r="CN3" t="e">
        <f>AND('Listado General'!#REF!,"AAAAAAd3zVs=")</f>
        <v>#REF!</v>
      </c>
      <c r="CO3" t="e">
        <f>AND('Listado General'!#REF!,"AAAAAAd3zVw=")</f>
        <v>#REF!</v>
      </c>
      <c r="CP3" t="e">
        <f>IF('Listado General'!#REF!,"AAAAAAd3zV0=",0)</f>
        <v>#REF!</v>
      </c>
      <c r="CQ3" t="e">
        <f>AND('Listado General'!#REF!,"AAAAAAd3zV4=")</f>
        <v>#REF!</v>
      </c>
      <c r="CR3" t="e">
        <f>AND('Listado General'!#REF!,"AAAAAAd3zV8=")</f>
        <v>#REF!</v>
      </c>
      <c r="CS3" t="e">
        <f>AND('Listado General'!#REF!,"AAAAAAd3zWA=")</f>
        <v>#REF!</v>
      </c>
      <c r="CT3" t="e">
        <f>AND('Listado General'!#REF!,"AAAAAAd3zWE=")</f>
        <v>#REF!</v>
      </c>
      <c r="CU3" t="e">
        <f>AND('Listado General'!#REF!,"AAAAAAd3zWI=")</f>
        <v>#REF!</v>
      </c>
      <c r="CV3" t="e">
        <f>AND('Listado General'!#REF!,"AAAAAAd3zWM=")</f>
        <v>#REF!</v>
      </c>
      <c r="CW3" t="e">
        <f>AND('Listado General'!#REF!,"AAAAAAd3zWQ=")</f>
        <v>#REF!</v>
      </c>
      <c r="CX3" t="e">
        <f>AND('Listado General'!#REF!,"AAAAAAd3zWU=")</f>
        <v>#REF!</v>
      </c>
      <c r="CY3" t="e">
        <f>AND('Listado General'!#REF!,"AAAAAAd3zWY=")</f>
        <v>#REF!</v>
      </c>
      <c r="CZ3" t="e">
        <f>IF('Listado General'!#REF!,"AAAAAAd3zWc=",0)</f>
        <v>#REF!</v>
      </c>
      <c r="DA3" t="e">
        <f>AND('Listado General'!#REF!,"AAAAAAd3zWg=")</f>
        <v>#REF!</v>
      </c>
      <c r="DB3" t="e">
        <f>AND('Listado General'!#REF!,"AAAAAAd3zWk=")</f>
        <v>#REF!</v>
      </c>
      <c r="DC3" t="e">
        <f>AND('Listado General'!#REF!,"AAAAAAd3zWo=")</f>
        <v>#REF!</v>
      </c>
      <c r="DD3" t="e">
        <f>AND('Listado General'!#REF!,"AAAAAAd3zWs=")</f>
        <v>#REF!</v>
      </c>
      <c r="DE3" t="e">
        <f>AND('Listado General'!#REF!,"AAAAAAd3zWw=")</f>
        <v>#REF!</v>
      </c>
      <c r="DF3" t="e">
        <f>AND('Listado General'!#REF!,"AAAAAAd3zW0=")</f>
        <v>#REF!</v>
      </c>
      <c r="DG3" t="e">
        <f>AND('Listado General'!#REF!,"AAAAAAd3zW4=")</f>
        <v>#REF!</v>
      </c>
      <c r="DH3" t="e">
        <f>AND('Listado General'!#REF!,"AAAAAAd3zW8=")</f>
        <v>#REF!</v>
      </c>
      <c r="DI3" t="e">
        <f>AND('Listado General'!#REF!,"AAAAAAd3zXA=")</f>
        <v>#REF!</v>
      </c>
      <c r="DJ3" t="e">
        <f>IF('Listado General'!#REF!,"AAAAAAd3zXE=",0)</f>
        <v>#REF!</v>
      </c>
      <c r="DK3" t="e">
        <f>AND('Listado General'!#REF!,"AAAAAAd3zXI=")</f>
        <v>#REF!</v>
      </c>
      <c r="DL3" t="e">
        <f>AND('Listado General'!#REF!,"AAAAAAd3zXM=")</f>
        <v>#REF!</v>
      </c>
      <c r="DM3" t="e">
        <f>AND('Listado General'!#REF!,"AAAAAAd3zXQ=")</f>
        <v>#REF!</v>
      </c>
      <c r="DN3" t="e">
        <f>AND('Listado General'!#REF!,"AAAAAAd3zXU=")</f>
        <v>#REF!</v>
      </c>
      <c r="DO3" t="e">
        <f>AND('Listado General'!#REF!,"AAAAAAd3zXY=")</f>
        <v>#REF!</v>
      </c>
      <c r="DP3" t="e">
        <f>AND('Listado General'!#REF!,"AAAAAAd3zXc=")</f>
        <v>#REF!</v>
      </c>
      <c r="DQ3" t="e">
        <f>AND('Listado General'!#REF!,"AAAAAAd3zXg=")</f>
        <v>#REF!</v>
      </c>
      <c r="DR3" t="e">
        <f>AND('Listado General'!#REF!,"AAAAAAd3zXk=")</f>
        <v>#REF!</v>
      </c>
      <c r="DS3" t="e">
        <f>AND('Listado General'!#REF!,"AAAAAAd3zXo=")</f>
        <v>#REF!</v>
      </c>
      <c r="DT3" t="e">
        <f>IF('Listado General'!#REF!,"AAAAAAd3zXs=",0)</f>
        <v>#REF!</v>
      </c>
      <c r="DU3" t="e">
        <f>AND('Listado General'!#REF!,"AAAAAAd3zXw=")</f>
        <v>#REF!</v>
      </c>
      <c r="DV3" t="e">
        <f>AND('Listado General'!#REF!,"AAAAAAd3zX0=")</f>
        <v>#REF!</v>
      </c>
      <c r="DW3" t="e">
        <f>AND('Listado General'!#REF!,"AAAAAAd3zX4=")</f>
        <v>#REF!</v>
      </c>
      <c r="DX3" t="e">
        <f>AND('Listado General'!#REF!,"AAAAAAd3zX8=")</f>
        <v>#REF!</v>
      </c>
      <c r="DY3" t="e">
        <f>AND('Listado General'!#REF!,"AAAAAAd3zYA=")</f>
        <v>#REF!</v>
      </c>
      <c r="DZ3" t="e">
        <f>AND('Listado General'!#REF!,"AAAAAAd3zYE=")</f>
        <v>#REF!</v>
      </c>
      <c r="EA3" t="e">
        <f>AND('Listado General'!#REF!,"AAAAAAd3zYI=")</f>
        <v>#REF!</v>
      </c>
      <c r="EB3" t="e">
        <f>AND('Listado General'!#REF!,"AAAAAAd3zYM=")</f>
        <v>#REF!</v>
      </c>
      <c r="EC3" t="e">
        <f>AND('Listado General'!#REF!,"AAAAAAd3zYQ=")</f>
        <v>#REF!</v>
      </c>
      <c r="ED3" t="e">
        <f>IF('Listado General'!#REF!,"AAAAAAd3zYU=",0)</f>
        <v>#REF!</v>
      </c>
      <c r="EE3" t="e">
        <f>AND('Listado General'!#REF!,"AAAAAAd3zYY=")</f>
        <v>#REF!</v>
      </c>
      <c r="EF3" t="e">
        <f>AND('Listado General'!#REF!,"AAAAAAd3zYc=")</f>
        <v>#REF!</v>
      </c>
      <c r="EG3" t="e">
        <f>AND('Listado General'!#REF!,"AAAAAAd3zYg=")</f>
        <v>#REF!</v>
      </c>
      <c r="EH3" t="e">
        <f>AND('Listado General'!#REF!,"AAAAAAd3zYk=")</f>
        <v>#REF!</v>
      </c>
      <c r="EI3" t="e">
        <f>AND('Listado General'!#REF!,"AAAAAAd3zYo=")</f>
        <v>#REF!</v>
      </c>
      <c r="EJ3" t="e">
        <f>AND('Listado General'!#REF!,"AAAAAAd3zYs=")</f>
        <v>#REF!</v>
      </c>
      <c r="EK3" t="e">
        <f>AND('Listado General'!#REF!,"AAAAAAd3zYw=")</f>
        <v>#REF!</v>
      </c>
      <c r="EL3" t="e">
        <f>AND('Listado General'!#REF!,"AAAAAAd3zY0=")</f>
        <v>#REF!</v>
      </c>
      <c r="EM3" t="e">
        <f>AND('Listado General'!#REF!,"AAAAAAd3zY4=")</f>
        <v>#REF!</v>
      </c>
      <c r="EN3" t="e">
        <f>IF('Listado General'!#REF!,"AAAAAAd3zY8=",0)</f>
        <v>#REF!</v>
      </c>
      <c r="EO3" t="e">
        <f>AND('Listado General'!#REF!,"AAAAAAd3zZA=")</f>
        <v>#REF!</v>
      </c>
      <c r="EP3" t="e">
        <f>AND('Listado General'!#REF!,"AAAAAAd3zZE=")</f>
        <v>#REF!</v>
      </c>
      <c r="EQ3" t="e">
        <f>AND('Listado General'!#REF!,"AAAAAAd3zZI=")</f>
        <v>#REF!</v>
      </c>
      <c r="ER3" t="e">
        <f>AND('Listado General'!#REF!,"AAAAAAd3zZM=")</f>
        <v>#REF!</v>
      </c>
      <c r="ES3" t="e">
        <f>AND('Listado General'!#REF!,"AAAAAAd3zZQ=")</f>
        <v>#REF!</v>
      </c>
      <c r="ET3" t="e">
        <f>AND('Listado General'!#REF!,"AAAAAAd3zZU=")</f>
        <v>#REF!</v>
      </c>
      <c r="EU3" t="e">
        <f>AND('Listado General'!#REF!,"AAAAAAd3zZY=")</f>
        <v>#REF!</v>
      </c>
      <c r="EV3" t="e">
        <f>AND('Listado General'!#REF!,"AAAAAAd3zZc=")</f>
        <v>#REF!</v>
      </c>
      <c r="EW3" t="e">
        <f>AND('Listado General'!#REF!,"AAAAAAd3zZg=")</f>
        <v>#REF!</v>
      </c>
      <c r="EX3" t="e">
        <f>IF('Listado General'!#REF!,"AAAAAAd3zZk=",0)</f>
        <v>#REF!</v>
      </c>
      <c r="EY3" t="e">
        <f>AND('Listado General'!#REF!,"AAAAAAd3zZo=")</f>
        <v>#REF!</v>
      </c>
      <c r="EZ3" t="e">
        <f>AND('Listado General'!#REF!,"AAAAAAd3zZs=")</f>
        <v>#REF!</v>
      </c>
      <c r="FA3" t="e">
        <f>AND('Listado General'!#REF!,"AAAAAAd3zZw=")</f>
        <v>#REF!</v>
      </c>
      <c r="FB3" t="e">
        <f>AND('Listado General'!#REF!,"AAAAAAd3zZ0=")</f>
        <v>#REF!</v>
      </c>
      <c r="FC3" t="e">
        <f>AND('Listado General'!#REF!,"AAAAAAd3zZ4=")</f>
        <v>#REF!</v>
      </c>
      <c r="FD3" t="e">
        <f>AND('Listado General'!#REF!,"AAAAAAd3zZ8=")</f>
        <v>#REF!</v>
      </c>
      <c r="FE3" t="e">
        <f>AND('Listado General'!#REF!,"AAAAAAd3zaA=")</f>
        <v>#REF!</v>
      </c>
      <c r="FF3" t="e">
        <f>AND('Listado General'!#REF!,"AAAAAAd3zaE=")</f>
        <v>#REF!</v>
      </c>
      <c r="FG3" t="e">
        <f>AND('Listado General'!#REF!,"AAAAAAd3zaI=")</f>
        <v>#REF!</v>
      </c>
      <c r="FH3" t="e">
        <f>IF('Listado General'!#REF!,"AAAAAAd3zaM=",0)</f>
        <v>#REF!</v>
      </c>
      <c r="FI3" t="e">
        <f>AND('Listado General'!#REF!,"AAAAAAd3zaQ=")</f>
        <v>#REF!</v>
      </c>
      <c r="FJ3" t="e">
        <f>AND('Listado General'!#REF!,"AAAAAAd3zaU=")</f>
        <v>#REF!</v>
      </c>
      <c r="FK3" t="e">
        <f>AND('Listado General'!#REF!,"AAAAAAd3zaY=")</f>
        <v>#REF!</v>
      </c>
      <c r="FL3" t="e">
        <f>AND('Listado General'!#REF!,"AAAAAAd3zac=")</f>
        <v>#REF!</v>
      </c>
      <c r="FM3" t="e">
        <f>AND('Listado General'!#REF!,"AAAAAAd3zag=")</f>
        <v>#REF!</v>
      </c>
      <c r="FN3" t="e">
        <f>AND('Listado General'!#REF!,"AAAAAAd3zak=")</f>
        <v>#REF!</v>
      </c>
      <c r="FO3" t="e">
        <f>AND('Listado General'!#REF!,"AAAAAAd3zao=")</f>
        <v>#REF!</v>
      </c>
      <c r="FP3" t="e">
        <f>AND('Listado General'!#REF!,"AAAAAAd3zas=")</f>
        <v>#REF!</v>
      </c>
      <c r="FQ3" t="e">
        <f>AND('Listado General'!#REF!,"AAAAAAd3zaw=")</f>
        <v>#REF!</v>
      </c>
      <c r="FR3" t="e">
        <f>IF('Listado General'!#REF!,"AAAAAAd3za0=",0)</f>
        <v>#REF!</v>
      </c>
      <c r="FS3" t="e">
        <f>AND('Listado General'!#REF!,"AAAAAAd3za4=")</f>
        <v>#REF!</v>
      </c>
      <c r="FT3" t="e">
        <f>AND('Listado General'!#REF!,"AAAAAAd3za8=")</f>
        <v>#REF!</v>
      </c>
      <c r="FU3" t="e">
        <f>AND('Listado General'!#REF!,"AAAAAAd3zbA=")</f>
        <v>#REF!</v>
      </c>
      <c r="FV3" t="e">
        <f>AND('Listado General'!#REF!,"AAAAAAd3zbE=")</f>
        <v>#REF!</v>
      </c>
      <c r="FW3" t="e">
        <f>AND('Listado General'!#REF!,"AAAAAAd3zbI=")</f>
        <v>#REF!</v>
      </c>
      <c r="FX3" t="e">
        <f>AND('Listado General'!#REF!,"AAAAAAd3zbM=")</f>
        <v>#REF!</v>
      </c>
      <c r="FY3" t="e">
        <f>AND('Listado General'!#REF!,"AAAAAAd3zbQ=")</f>
        <v>#REF!</v>
      </c>
      <c r="FZ3" t="e">
        <f>AND('Listado General'!#REF!,"AAAAAAd3zbU=")</f>
        <v>#REF!</v>
      </c>
      <c r="GA3" t="e">
        <f>AND('Listado General'!#REF!,"AAAAAAd3zbY=")</f>
        <v>#REF!</v>
      </c>
      <c r="GB3" t="e">
        <f>IF('Listado General'!#REF!,"AAAAAAd3zbc=",0)</f>
        <v>#REF!</v>
      </c>
      <c r="GC3" t="e">
        <f>AND('Listado General'!#REF!,"AAAAAAd3zbg=")</f>
        <v>#REF!</v>
      </c>
      <c r="GD3" t="e">
        <f>AND('Listado General'!#REF!,"AAAAAAd3zbk=")</f>
        <v>#REF!</v>
      </c>
      <c r="GE3" t="e">
        <f>AND('Listado General'!#REF!,"AAAAAAd3zbo=")</f>
        <v>#REF!</v>
      </c>
      <c r="GF3" t="e">
        <f>AND('Listado General'!#REF!,"AAAAAAd3zbs=")</f>
        <v>#REF!</v>
      </c>
      <c r="GG3" t="e">
        <f>AND('Listado General'!#REF!,"AAAAAAd3zbw=")</f>
        <v>#REF!</v>
      </c>
      <c r="GH3" t="e">
        <f>AND('Listado General'!#REF!,"AAAAAAd3zb0=")</f>
        <v>#REF!</v>
      </c>
      <c r="GI3" t="e">
        <f>AND('Listado General'!#REF!,"AAAAAAd3zb4=")</f>
        <v>#REF!</v>
      </c>
      <c r="GJ3" t="e">
        <f>AND('Listado General'!#REF!,"AAAAAAd3zb8=")</f>
        <v>#REF!</v>
      </c>
      <c r="GK3" t="e">
        <f>AND('Listado General'!#REF!,"AAAAAAd3zcA=")</f>
        <v>#REF!</v>
      </c>
      <c r="GL3" t="e">
        <f>IF('Listado General'!#REF!,"AAAAAAd3zcE=",0)</f>
        <v>#REF!</v>
      </c>
      <c r="GM3" t="e">
        <f>AND('Listado General'!#REF!,"AAAAAAd3zcI=")</f>
        <v>#REF!</v>
      </c>
      <c r="GN3" t="e">
        <f>AND('Listado General'!#REF!,"AAAAAAd3zcM=")</f>
        <v>#REF!</v>
      </c>
      <c r="GO3" t="e">
        <f>AND('Listado General'!#REF!,"AAAAAAd3zcQ=")</f>
        <v>#REF!</v>
      </c>
      <c r="GP3" t="e">
        <f>AND('Listado General'!#REF!,"AAAAAAd3zcU=")</f>
        <v>#REF!</v>
      </c>
      <c r="GQ3" t="e">
        <f>AND('Listado General'!#REF!,"AAAAAAd3zcY=")</f>
        <v>#REF!</v>
      </c>
      <c r="GR3" t="e">
        <f>AND('Listado General'!#REF!,"AAAAAAd3zcc=")</f>
        <v>#REF!</v>
      </c>
      <c r="GS3" t="e">
        <f>AND('Listado General'!#REF!,"AAAAAAd3zcg=")</f>
        <v>#REF!</v>
      </c>
      <c r="GT3" t="e">
        <f>AND('Listado General'!#REF!,"AAAAAAd3zck=")</f>
        <v>#REF!</v>
      </c>
      <c r="GU3" t="e">
        <f>AND('Listado General'!#REF!,"AAAAAAd3zco=")</f>
        <v>#REF!</v>
      </c>
      <c r="GV3" t="e">
        <f>IF('Listado General'!#REF!,"AAAAAAd3zcs=",0)</f>
        <v>#REF!</v>
      </c>
      <c r="GW3" t="e">
        <f>AND('Listado General'!#REF!,"AAAAAAd3zcw=")</f>
        <v>#REF!</v>
      </c>
      <c r="GX3" t="e">
        <f>AND('Listado General'!#REF!,"AAAAAAd3zc0=")</f>
        <v>#REF!</v>
      </c>
      <c r="GY3" t="e">
        <f>AND('Listado General'!#REF!,"AAAAAAd3zc4=")</f>
        <v>#REF!</v>
      </c>
      <c r="GZ3" t="e">
        <f>AND('Listado General'!#REF!,"AAAAAAd3zc8=")</f>
        <v>#REF!</v>
      </c>
      <c r="HA3" t="e">
        <f>AND('Listado General'!#REF!,"AAAAAAd3zdA=")</f>
        <v>#REF!</v>
      </c>
      <c r="HB3" t="e">
        <f>AND('Listado General'!#REF!,"AAAAAAd3zdE=")</f>
        <v>#REF!</v>
      </c>
      <c r="HC3" t="e">
        <f>AND('Listado General'!#REF!,"AAAAAAd3zdI=")</f>
        <v>#REF!</v>
      </c>
      <c r="HD3" t="e">
        <f>AND('Listado General'!#REF!,"AAAAAAd3zdM=")</f>
        <v>#REF!</v>
      </c>
      <c r="HE3" t="e">
        <f>AND('Listado General'!#REF!,"AAAAAAd3zdQ=")</f>
        <v>#REF!</v>
      </c>
      <c r="HF3" t="e">
        <f>IF('Listado General'!#REF!,"AAAAAAd3zdU=",0)</f>
        <v>#REF!</v>
      </c>
      <c r="HG3" t="e">
        <f>AND('Listado General'!#REF!,"AAAAAAd3zdY=")</f>
        <v>#REF!</v>
      </c>
      <c r="HH3" t="e">
        <f>AND('Listado General'!#REF!,"AAAAAAd3zdc=")</f>
        <v>#REF!</v>
      </c>
      <c r="HI3" t="e">
        <f>AND('Listado General'!#REF!,"AAAAAAd3zdg=")</f>
        <v>#REF!</v>
      </c>
      <c r="HJ3" t="e">
        <f>AND('Listado General'!#REF!,"AAAAAAd3zdk=")</f>
        <v>#REF!</v>
      </c>
      <c r="HK3" t="e">
        <f>AND('Listado General'!#REF!,"AAAAAAd3zdo=")</f>
        <v>#REF!</v>
      </c>
      <c r="HL3" t="e">
        <f>AND('Listado General'!#REF!,"AAAAAAd3zds=")</f>
        <v>#REF!</v>
      </c>
      <c r="HM3" t="e">
        <f>AND('Listado General'!#REF!,"AAAAAAd3zdw=")</f>
        <v>#REF!</v>
      </c>
      <c r="HN3" t="e">
        <f>AND('Listado General'!#REF!,"AAAAAAd3zd0=")</f>
        <v>#REF!</v>
      </c>
      <c r="HO3" t="e">
        <f>AND('Listado General'!#REF!,"AAAAAAd3zd4=")</f>
        <v>#REF!</v>
      </c>
      <c r="HP3" t="e">
        <f>IF('Listado General'!#REF!,"AAAAAAd3zd8=",0)</f>
        <v>#REF!</v>
      </c>
      <c r="HQ3" t="e">
        <f>AND('Listado General'!#REF!,"AAAAAAd3zeA=")</f>
        <v>#REF!</v>
      </c>
      <c r="HR3" t="e">
        <f>AND('Listado General'!#REF!,"AAAAAAd3zeE=")</f>
        <v>#REF!</v>
      </c>
      <c r="HS3" t="e">
        <f>AND('Listado General'!#REF!,"AAAAAAd3zeI=")</f>
        <v>#REF!</v>
      </c>
      <c r="HT3" t="e">
        <f>AND('Listado General'!#REF!,"AAAAAAd3zeM=")</f>
        <v>#REF!</v>
      </c>
      <c r="HU3" t="e">
        <f>AND('Listado General'!#REF!,"AAAAAAd3zeQ=")</f>
        <v>#REF!</v>
      </c>
      <c r="HV3" t="e">
        <f>AND('Listado General'!#REF!,"AAAAAAd3zeU=")</f>
        <v>#REF!</v>
      </c>
      <c r="HW3" t="e">
        <f>AND('Listado General'!#REF!,"AAAAAAd3zeY=")</f>
        <v>#REF!</v>
      </c>
      <c r="HX3" t="e">
        <f>AND('Listado General'!#REF!,"AAAAAAd3zec=")</f>
        <v>#REF!</v>
      </c>
      <c r="HY3" t="e">
        <f>AND('Listado General'!#REF!,"AAAAAAd3zeg=")</f>
        <v>#REF!</v>
      </c>
      <c r="HZ3" t="e">
        <f>IF('Listado General'!#REF!,"AAAAAAd3zek=",0)</f>
        <v>#REF!</v>
      </c>
      <c r="IA3" t="e">
        <f>AND('Listado General'!#REF!,"AAAAAAd3zeo=")</f>
        <v>#REF!</v>
      </c>
      <c r="IB3" t="e">
        <f>AND('Listado General'!#REF!,"AAAAAAd3zes=")</f>
        <v>#REF!</v>
      </c>
      <c r="IC3" t="e">
        <f>AND('Listado General'!#REF!,"AAAAAAd3zew=")</f>
        <v>#REF!</v>
      </c>
      <c r="ID3" t="e">
        <f>AND('Listado General'!#REF!,"AAAAAAd3ze0=")</f>
        <v>#REF!</v>
      </c>
      <c r="IE3" t="e">
        <f>AND('Listado General'!#REF!,"AAAAAAd3ze4=")</f>
        <v>#REF!</v>
      </c>
      <c r="IF3" t="e">
        <f>AND('Listado General'!#REF!,"AAAAAAd3ze8=")</f>
        <v>#REF!</v>
      </c>
      <c r="IG3" t="e">
        <f>AND('Listado General'!#REF!,"AAAAAAd3zfA=")</f>
        <v>#REF!</v>
      </c>
      <c r="IH3" t="e">
        <f>AND('Listado General'!#REF!,"AAAAAAd3zfE=")</f>
        <v>#REF!</v>
      </c>
      <c r="II3" t="e">
        <f>AND('Listado General'!#REF!,"AAAAAAd3zfI=")</f>
        <v>#REF!</v>
      </c>
      <c r="IJ3" t="e">
        <f>IF('Listado General'!#REF!,"AAAAAAd3zfM=",0)</f>
        <v>#REF!</v>
      </c>
      <c r="IK3" t="e">
        <f>AND('Listado General'!#REF!,"AAAAAAd3zfQ=")</f>
        <v>#REF!</v>
      </c>
      <c r="IL3" t="e">
        <f>AND('Listado General'!#REF!,"AAAAAAd3zfU=")</f>
        <v>#REF!</v>
      </c>
      <c r="IM3" t="e">
        <f>AND('Listado General'!#REF!,"AAAAAAd3zfY=")</f>
        <v>#REF!</v>
      </c>
      <c r="IN3" t="e">
        <f>AND('Listado General'!#REF!,"AAAAAAd3zfc=")</f>
        <v>#REF!</v>
      </c>
      <c r="IO3" t="e">
        <f>AND('Listado General'!#REF!,"AAAAAAd3zfg=")</f>
        <v>#REF!</v>
      </c>
      <c r="IP3" t="e">
        <f>AND('Listado General'!#REF!,"AAAAAAd3zfk=")</f>
        <v>#REF!</v>
      </c>
      <c r="IQ3" t="e">
        <f>AND('Listado General'!#REF!,"AAAAAAd3zfo=")</f>
        <v>#REF!</v>
      </c>
      <c r="IR3" t="e">
        <f>AND('Listado General'!#REF!,"AAAAAAd3zfs=")</f>
        <v>#REF!</v>
      </c>
      <c r="IS3" t="e">
        <f>AND('Listado General'!#REF!,"AAAAAAd3zfw=")</f>
        <v>#REF!</v>
      </c>
      <c r="IT3" t="e">
        <f>IF('Listado General'!#REF!,"AAAAAAd3zf0=",0)</f>
        <v>#REF!</v>
      </c>
      <c r="IU3" t="e">
        <f>AND('Listado General'!#REF!,"AAAAAAd3zf4=")</f>
        <v>#REF!</v>
      </c>
      <c r="IV3" t="e">
        <f>AND('Listado General'!#REF!,"AAAAAAd3zf8=")</f>
        <v>#REF!</v>
      </c>
    </row>
    <row r="4" spans="1:256" ht="12.75">
      <c r="A4" t="e">
        <f>AND('Listado General'!#REF!,"AAAAAH779QA=")</f>
        <v>#REF!</v>
      </c>
      <c r="B4" t="e">
        <f>AND('Listado General'!#REF!,"AAAAAH779QE=")</f>
        <v>#REF!</v>
      </c>
      <c r="C4" t="e">
        <f>AND('Listado General'!#REF!,"AAAAAH779QI=")</f>
        <v>#REF!</v>
      </c>
      <c r="D4" t="e">
        <f>AND('Listado General'!#REF!,"AAAAAH779QM=")</f>
        <v>#REF!</v>
      </c>
      <c r="E4" t="e">
        <f>AND('Listado General'!#REF!,"AAAAAH779QQ=")</f>
        <v>#REF!</v>
      </c>
      <c r="F4" t="e">
        <f>AND('Listado General'!#REF!,"AAAAAH779QU=")</f>
        <v>#REF!</v>
      </c>
      <c r="G4" t="e">
        <f>AND('Listado General'!#REF!,"AAAAAH779QY=")</f>
        <v>#REF!</v>
      </c>
      <c r="H4" t="e">
        <f>IF('Listado General'!#REF!,"AAAAAH779Qc=",0)</f>
        <v>#REF!</v>
      </c>
      <c r="I4" t="e">
        <f>AND('Listado General'!#REF!,"AAAAAH779Qg=")</f>
        <v>#REF!</v>
      </c>
      <c r="J4" t="e">
        <f>AND('Listado General'!#REF!,"AAAAAH779Qk=")</f>
        <v>#REF!</v>
      </c>
      <c r="K4" t="e">
        <f>AND('Listado General'!#REF!,"AAAAAH779Qo=")</f>
        <v>#REF!</v>
      </c>
      <c r="L4" t="e">
        <f>AND('Listado General'!#REF!,"AAAAAH779Qs=")</f>
        <v>#REF!</v>
      </c>
      <c r="M4" t="e">
        <f>AND('Listado General'!#REF!,"AAAAAH779Qw=")</f>
        <v>#REF!</v>
      </c>
      <c r="N4" t="e">
        <f>AND('Listado General'!#REF!,"AAAAAH779Q0=")</f>
        <v>#REF!</v>
      </c>
      <c r="O4" t="e">
        <f>AND('Listado General'!#REF!,"AAAAAH779Q4=")</f>
        <v>#REF!</v>
      </c>
      <c r="P4" t="e">
        <f>AND('Listado General'!#REF!,"AAAAAH779Q8=")</f>
        <v>#REF!</v>
      </c>
      <c r="Q4" t="e">
        <f>AND('Listado General'!#REF!,"AAAAAH779RA=")</f>
        <v>#REF!</v>
      </c>
      <c r="R4" t="e">
        <f>IF('Listado General'!#REF!,"AAAAAH779RE=",0)</f>
        <v>#REF!</v>
      </c>
      <c r="S4" t="e">
        <f>AND('Listado General'!#REF!,"AAAAAH779RI=")</f>
        <v>#REF!</v>
      </c>
      <c r="T4" t="e">
        <f>AND('Listado General'!#REF!,"AAAAAH779RM=")</f>
        <v>#REF!</v>
      </c>
      <c r="U4" t="e">
        <f>AND('Listado General'!#REF!,"AAAAAH779RQ=")</f>
        <v>#REF!</v>
      </c>
      <c r="V4" t="e">
        <f>AND('Listado General'!#REF!,"AAAAAH779RU=")</f>
        <v>#REF!</v>
      </c>
      <c r="W4" t="e">
        <f>AND('Listado General'!#REF!,"AAAAAH779RY=")</f>
        <v>#REF!</v>
      </c>
      <c r="X4" t="e">
        <f>AND('Listado General'!#REF!,"AAAAAH779Rc=")</f>
        <v>#REF!</v>
      </c>
      <c r="Y4" t="e">
        <f>AND('Listado General'!#REF!,"AAAAAH779Rg=")</f>
        <v>#REF!</v>
      </c>
      <c r="Z4" t="e">
        <f>AND('Listado General'!#REF!,"AAAAAH779Rk=")</f>
        <v>#REF!</v>
      </c>
      <c r="AA4" t="e">
        <f>AND('Listado General'!#REF!,"AAAAAH779Ro=")</f>
        <v>#REF!</v>
      </c>
      <c r="AB4" t="e">
        <f>IF('Listado General'!#REF!,"AAAAAH779Rs=",0)</f>
        <v>#REF!</v>
      </c>
      <c r="AC4" t="e">
        <f>AND('Listado General'!#REF!,"AAAAAH779Rw=")</f>
        <v>#REF!</v>
      </c>
      <c r="AD4" t="e">
        <f>AND('Listado General'!#REF!,"AAAAAH779R0=")</f>
        <v>#REF!</v>
      </c>
      <c r="AE4" t="e">
        <f>AND('Listado General'!#REF!,"AAAAAH779R4=")</f>
        <v>#REF!</v>
      </c>
      <c r="AF4" t="e">
        <f>AND('Listado General'!#REF!,"AAAAAH779R8=")</f>
        <v>#REF!</v>
      </c>
      <c r="AG4" t="e">
        <f>AND('Listado General'!#REF!,"AAAAAH779SA=")</f>
        <v>#REF!</v>
      </c>
      <c r="AH4" t="e">
        <f>AND('Listado General'!#REF!,"AAAAAH779SE=")</f>
        <v>#REF!</v>
      </c>
      <c r="AI4" t="e">
        <f>AND('Listado General'!#REF!,"AAAAAH779SI=")</f>
        <v>#REF!</v>
      </c>
      <c r="AJ4" t="e">
        <f>AND('Listado General'!#REF!,"AAAAAH779SM=")</f>
        <v>#REF!</v>
      </c>
      <c r="AK4" t="e">
        <f>AND('Listado General'!#REF!,"AAAAAH779SQ=")</f>
        <v>#REF!</v>
      </c>
      <c r="AL4" t="e">
        <f>IF('Listado General'!#REF!,"AAAAAH779SU=",0)</f>
        <v>#REF!</v>
      </c>
      <c r="AM4" t="e">
        <f>AND('Listado General'!#REF!,"AAAAAH779SY=")</f>
        <v>#REF!</v>
      </c>
      <c r="AN4" t="e">
        <f>AND('Listado General'!#REF!,"AAAAAH779Sc=")</f>
        <v>#REF!</v>
      </c>
      <c r="AO4" t="e">
        <f>AND('Listado General'!#REF!,"AAAAAH779Sg=")</f>
        <v>#REF!</v>
      </c>
      <c r="AP4" t="e">
        <f>AND('Listado General'!#REF!,"AAAAAH779Sk=")</f>
        <v>#REF!</v>
      </c>
      <c r="AQ4" t="e">
        <f>AND('Listado General'!#REF!,"AAAAAH779So=")</f>
        <v>#REF!</v>
      </c>
      <c r="AR4" t="e">
        <f>AND('Listado General'!#REF!,"AAAAAH779Ss=")</f>
        <v>#REF!</v>
      </c>
      <c r="AS4" t="e">
        <f>AND('Listado General'!#REF!,"AAAAAH779Sw=")</f>
        <v>#REF!</v>
      </c>
      <c r="AT4" t="e">
        <f>AND('Listado General'!#REF!,"AAAAAH779S0=")</f>
        <v>#REF!</v>
      </c>
      <c r="AU4" t="e">
        <f>AND('Listado General'!#REF!,"AAAAAH779S4=")</f>
        <v>#REF!</v>
      </c>
      <c r="AV4" t="e">
        <f>IF('Listado General'!#REF!,"AAAAAH779S8=",0)</f>
        <v>#REF!</v>
      </c>
      <c r="AW4" t="e">
        <f>AND('Listado General'!#REF!,"AAAAAH779TA=")</f>
        <v>#REF!</v>
      </c>
      <c r="AX4" t="e">
        <f>AND('Listado General'!#REF!,"AAAAAH779TE=")</f>
        <v>#REF!</v>
      </c>
      <c r="AY4" t="e">
        <f>AND('Listado General'!#REF!,"AAAAAH779TI=")</f>
        <v>#REF!</v>
      </c>
      <c r="AZ4" t="e">
        <f>AND('Listado General'!#REF!,"AAAAAH779TM=")</f>
        <v>#REF!</v>
      </c>
      <c r="BA4" t="e">
        <f>AND('Listado General'!#REF!,"AAAAAH779TQ=")</f>
        <v>#REF!</v>
      </c>
      <c r="BB4" t="e">
        <f>AND('Listado General'!#REF!,"AAAAAH779TU=")</f>
        <v>#REF!</v>
      </c>
      <c r="BC4" t="e">
        <f>AND('Listado General'!#REF!,"AAAAAH779TY=")</f>
        <v>#REF!</v>
      </c>
      <c r="BD4" t="e">
        <f>AND('Listado General'!#REF!,"AAAAAH779Tc=")</f>
        <v>#REF!</v>
      </c>
      <c r="BE4" t="e">
        <f>AND('Listado General'!#REF!,"AAAAAH779Tg=")</f>
        <v>#REF!</v>
      </c>
      <c r="BF4" t="e">
        <f>IF('Listado General'!#REF!,"AAAAAH779Tk=",0)</f>
        <v>#REF!</v>
      </c>
      <c r="BG4" t="e">
        <f>AND('Listado General'!#REF!,"AAAAAH779To=")</f>
        <v>#REF!</v>
      </c>
      <c r="BH4" t="e">
        <f>AND('Listado General'!#REF!,"AAAAAH779Ts=")</f>
        <v>#REF!</v>
      </c>
      <c r="BI4" t="e">
        <f>AND('Listado General'!#REF!,"AAAAAH779Tw=")</f>
        <v>#REF!</v>
      </c>
      <c r="BJ4" t="e">
        <f>AND('Listado General'!#REF!,"AAAAAH779T0=")</f>
        <v>#REF!</v>
      </c>
      <c r="BK4" t="e">
        <f>AND('Listado General'!#REF!,"AAAAAH779T4=")</f>
        <v>#REF!</v>
      </c>
      <c r="BL4" t="e">
        <f>AND('Listado General'!#REF!,"AAAAAH779T8=")</f>
        <v>#REF!</v>
      </c>
      <c r="BM4" t="e">
        <f>AND('Listado General'!#REF!,"AAAAAH779UA=")</f>
        <v>#REF!</v>
      </c>
      <c r="BN4" t="e">
        <f>AND('Listado General'!#REF!,"AAAAAH779UE=")</f>
        <v>#REF!</v>
      </c>
      <c r="BO4" t="e">
        <f>AND('Listado General'!#REF!,"AAAAAH779UI=")</f>
        <v>#REF!</v>
      </c>
      <c r="BP4" t="e">
        <f>IF('Listado General'!#REF!,"AAAAAH779UM=",0)</f>
        <v>#REF!</v>
      </c>
      <c r="BQ4" t="e">
        <f>AND('Listado General'!#REF!,"AAAAAH779UQ=")</f>
        <v>#REF!</v>
      </c>
      <c r="BR4" t="e">
        <f>AND('Listado General'!#REF!,"AAAAAH779UU=")</f>
        <v>#REF!</v>
      </c>
      <c r="BS4" t="e">
        <f>AND('Listado General'!#REF!,"AAAAAH779UY=")</f>
        <v>#REF!</v>
      </c>
      <c r="BT4" t="e">
        <f>AND('Listado General'!#REF!,"AAAAAH779Uc=")</f>
        <v>#REF!</v>
      </c>
      <c r="BU4" t="e">
        <f>AND('Listado General'!#REF!,"AAAAAH779Ug=")</f>
        <v>#REF!</v>
      </c>
      <c r="BV4" t="e">
        <f>AND('Listado General'!#REF!,"AAAAAH779Uk=")</f>
        <v>#REF!</v>
      </c>
      <c r="BW4" t="e">
        <f>AND('Listado General'!#REF!,"AAAAAH779Uo=")</f>
        <v>#REF!</v>
      </c>
      <c r="BX4" t="e">
        <f>AND('Listado General'!#REF!,"AAAAAH779Us=")</f>
        <v>#REF!</v>
      </c>
      <c r="BY4" t="e">
        <f>AND('Listado General'!#REF!,"AAAAAH779Uw=")</f>
        <v>#REF!</v>
      </c>
      <c r="BZ4" t="e">
        <f>IF('Listado General'!#REF!,"AAAAAH779U0=",0)</f>
        <v>#REF!</v>
      </c>
      <c r="CA4" t="e">
        <f>AND('Listado General'!#REF!,"AAAAAH779U4=")</f>
        <v>#REF!</v>
      </c>
      <c r="CB4" t="e">
        <f>AND('Listado General'!#REF!,"AAAAAH779U8=")</f>
        <v>#REF!</v>
      </c>
      <c r="CC4" t="e">
        <f>AND('Listado General'!#REF!,"AAAAAH779VA=")</f>
        <v>#REF!</v>
      </c>
      <c r="CD4" t="e">
        <f>AND('Listado General'!#REF!,"AAAAAH779VE=")</f>
        <v>#REF!</v>
      </c>
      <c r="CE4" t="e">
        <f>AND('Listado General'!#REF!,"AAAAAH779VI=")</f>
        <v>#REF!</v>
      </c>
      <c r="CF4" t="e">
        <f>AND('Listado General'!#REF!,"AAAAAH779VM=")</f>
        <v>#REF!</v>
      </c>
      <c r="CG4" t="e">
        <f>AND('Listado General'!#REF!,"AAAAAH779VQ=")</f>
        <v>#REF!</v>
      </c>
      <c r="CH4" t="e">
        <f>AND('Listado General'!#REF!,"AAAAAH779VU=")</f>
        <v>#REF!</v>
      </c>
      <c r="CI4" t="e">
        <f>AND('Listado General'!#REF!,"AAAAAH779VY=")</f>
        <v>#REF!</v>
      </c>
      <c r="CJ4" t="e">
        <f>IF('Listado General'!#REF!,"AAAAAH779Vc=",0)</f>
        <v>#REF!</v>
      </c>
      <c r="CK4" t="e">
        <f>AND('Listado General'!#REF!,"AAAAAH779Vg=")</f>
        <v>#REF!</v>
      </c>
      <c r="CL4" t="e">
        <f>AND('Listado General'!#REF!,"AAAAAH779Vk=")</f>
        <v>#REF!</v>
      </c>
      <c r="CM4" t="e">
        <f>AND('Listado General'!#REF!,"AAAAAH779Vo=")</f>
        <v>#REF!</v>
      </c>
      <c r="CN4" t="e">
        <f>AND('Listado General'!#REF!,"AAAAAH779Vs=")</f>
        <v>#REF!</v>
      </c>
      <c r="CO4" t="e">
        <f>AND('Listado General'!#REF!,"AAAAAH779Vw=")</f>
        <v>#REF!</v>
      </c>
      <c r="CP4" t="e">
        <f>AND('Listado General'!#REF!,"AAAAAH779V0=")</f>
        <v>#REF!</v>
      </c>
      <c r="CQ4" t="e">
        <f>AND('Listado General'!#REF!,"AAAAAH779V4=")</f>
        <v>#REF!</v>
      </c>
      <c r="CR4" t="e">
        <f>AND('Listado General'!#REF!,"AAAAAH779V8=")</f>
        <v>#REF!</v>
      </c>
      <c r="CS4" t="e">
        <f>AND('Listado General'!#REF!,"AAAAAH779WA=")</f>
        <v>#REF!</v>
      </c>
      <c r="CT4" t="e">
        <f>IF('Listado General'!#REF!,"AAAAAH779WE=",0)</f>
        <v>#REF!</v>
      </c>
      <c r="CU4" t="e">
        <f>AND('Listado General'!#REF!,"AAAAAH779WI=")</f>
        <v>#REF!</v>
      </c>
      <c r="CV4" t="e">
        <f>AND('Listado General'!#REF!,"AAAAAH779WM=")</f>
        <v>#REF!</v>
      </c>
      <c r="CW4" t="e">
        <f>AND('Listado General'!#REF!,"AAAAAH779WQ=")</f>
        <v>#REF!</v>
      </c>
      <c r="CX4" t="e">
        <f>AND('Listado General'!#REF!,"AAAAAH779WU=")</f>
        <v>#REF!</v>
      </c>
      <c r="CY4" t="e">
        <f>AND('Listado General'!#REF!,"AAAAAH779WY=")</f>
        <v>#REF!</v>
      </c>
      <c r="CZ4" t="e">
        <f>AND('Listado General'!#REF!,"AAAAAH779Wc=")</f>
        <v>#REF!</v>
      </c>
      <c r="DA4" t="e">
        <f>AND('Listado General'!#REF!,"AAAAAH779Wg=")</f>
        <v>#REF!</v>
      </c>
      <c r="DB4" t="e">
        <f>AND('Listado General'!#REF!,"AAAAAH779Wk=")</f>
        <v>#REF!</v>
      </c>
      <c r="DC4" t="e">
        <f>AND('Listado General'!#REF!,"AAAAAH779Wo=")</f>
        <v>#REF!</v>
      </c>
      <c r="DD4" t="e">
        <f>IF('Listado General'!#REF!,"AAAAAH779Ws=",0)</f>
        <v>#REF!</v>
      </c>
      <c r="DE4" t="e">
        <f>AND('Listado General'!#REF!,"AAAAAH779Ww=")</f>
        <v>#REF!</v>
      </c>
      <c r="DF4" t="e">
        <f>AND('Listado General'!#REF!,"AAAAAH779W0=")</f>
        <v>#REF!</v>
      </c>
      <c r="DG4" t="e">
        <f>AND('Listado General'!#REF!,"AAAAAH779W4=")</f>
        <v>#REF!</v>
      </c>
      <c r="DH4" t="e">
        <f>AND('Listado General'!#REF!,"AAAAAH779W8=")</f>
        <v>#REF!</v>
      </c>
      <c r="DI4" t="e">
        <f>AND('Listado General'!#REF!,"AAAAAH779XA=")</f>
        <v>#REF!</v>
      </c>
      <c r="DJ4" t="e">
        <f>AND('Listado General'!#REF!,"AAAAAH779XE=")</f>
        <v>#REF!</v>
      </c>
      <c r="DK4" t="e">
        <f>AND('Listado General'!#REF!,"AAAAAH779XI=")</f>
        <v>#REF!</v>
      </c>
      <c r="DL4" t="e">
        <f>AND('Listado General'!#REF!,"AAAAAH779XM=")</f>
        <v>#REF!</v>
      </c>
      <c r="DM4" t="e">
        <f>AND('Listado General'!#REF!,"AAAAAH779XQ=")</f>
        <v>#REF!</v>
      </c>
      <c r="DN4" t="e">
        <f>IF('Listado General'!#REF!,"AAAAAH779XU=",0)</f>
        <v>#REF!</v>
      </c>
      <c r="DO4" t="e">
        <f>AND('Listado General'!#REF!,"AAAAAH779XY=")</f>
        <v>#REF!</v>
      </c>
      <c r="DP4" t="e">
        <f>AND('Listado General'!#REF!,"AAAAAH779Xc=")</f>
        <v>#REF!</v>
      </c>
      <c r="DQ4" t="e">
        <f>AND('Listado General'!#REF!,"AAAAAH779Xg=")</f>
        <v>#REF!</v>
      </c>
      <c r="DR4" t="e">
        <f>AND('Listado General'!#REF!,"AAAAAH779Xk=")</f>
        <v>#REF!</v>
      </c>
      <c r="DS4" t="e">
        <f>AND('Listado General'!#REF!,"AAAAAH779Xo=")</f>
        <v>#REF!</v>
      </c>
      <c r="DT4" t="e">
        <f>AND('Listado General'!#REF!,"AAAAAH779Xs=")</f>
        <v>#REF!</v>
      </c>
      <c r="DU4" t="e">
        <f>AND('Listado General'!#REF!,"AAAAAH779Xw=")</f>
        <v>#REF!</v>
      </c>
      <c r="DV4" t="e">
        <f>AND('Listado General'!#REF!,"AAAAAH779X0=")</f>
        <v>#REF!</v>
      </c>
      <c r="DW4" t="e">
        <f>AND('Listado General'!#REF!,"AAAAAH779X4=")</f>
        <v>#REF!</v>
      </c>
      <c r="DX4" t="e">
        <f>IF('Listado General'!#REF!,"AAAAAH779X8=",0)</f>
        <v>#REF!</v>
      </c>
      <c r="DY4" t="e">
        <f>AND('Listado General'!#REF!,"AAAAAH779YA=")</f>
        <v>#REF!</v>
      </c>
      <c r="DZ4" t="e">
        <f>AND('Listado General'!#REF!,"AAAAAH779YE=")</f>
        <v>#REF!</v>
      </c>
      <c r="EA4" t="e">
        <f>AND('Listado General'!#REF!,"AAAAAH779YI=")</f>
        <v>#REF!</v>
      </c>
      <c r="EB4" t="e">
        <f>AND('Listado General'!#REF!,"AAAAAH779YM=")</f>
        <v>#REF!</v>
      </c>
      <c r="EC4" t="e">
        <f>AND('Listado General'!#REF!,"AAAAAH779YQ=")</f>
        <v>#REF!</v>
      </c>
      <c r="ED4" t="e">
        <f>AND('Listado General'!#REF!,"AAAAAH779YU=")</f>
        <v>#REF!</v>
      </c>
      <c r="EE4" t="e">
        <f>AND('Listado General'!#REF!,"AAAAAH779YY=")</f>
        <v>#REF!</v>
      </c>
      <c r="EF4" t="e">
        <f>AND('Listado General'!#REF!,"AAAAAH779Yc=")</f>
        <v>#REF!</v>
      </c>
      <c r="EG4" t="e">
        <f>AND('Listado General'!#REF!,"AAAAAH779Yg=")</f>
        <v>#REF!</v>
      </c>
      <c r="EH4" t="e">
        <f>IF('Listado General'!#REF!,"AAAAAH779Yk=",0)</f>
        <v>#REF!</v>
      </c>
      <c r="EI4" t="e">
        <f>AND('Listado General'!#REF!,"AAAAAH779Yo=")</f>
        <v>#REF!</v>
      </c>
      <c r="EJ4" t="e">
        <f>AND('Listado General'!#REF!,"AAAAAH779Ys=")</f>
        <v>#REF!</v>
      </c>
      <c r="EK4" t="e">
        <f>AND('Listado General'!#REF!,"AAAAAH779Yw=")</f>
        <v>#REF!</v>
      </c>
      <c r="EL4" t="e">
        <f>AND('Listado General'!#REF!,"AAAAAH779Y0=")</f>
        <v>#REF!</v>
      </c>
      <c r="EM4" t="e">
        <f>AND('Listado General'!#REF!,"AAAAAH779Y4=")</f>
        <v>#REF!</v>
      </c>
      <c r="EN4" t="e">
        <f>AND('Listado General'!#REF!,"AAAAAH779Y8=")</f>
        <v>#REF!</v>
      </c>
      <c r="EO4" t="e">
        <f>AND('Listado General'!#REF!,"AAAAAH779ZA=")</f>
        <v>#REF!</v>
      </c>
      <c r="EP4" t="e">
        <f>AND('Listado General'!#REF!,"AAAAAH779ZE=")</f>
        <v>#REF!</v>
      </c>
      <c r="EQ4" t="e">
        <f>AND('Listado General'!#REF!,"AAAAAH779ZI=")</f>
        <v>#REF!</v>
      </c>
      <c r="ER4" t="e">
        <f>IF('Listado General'!#REF!,"AAAAAH779ZM=",0)</f>
        <v>#REF!</v>
      </c>
      <c r="ES4" t="e">
        <f>AND('Listado General'!#REF!,"AAAAAH779ZQ=")</f>
        <v>#REF!</v>
      </c>
      <c r="ET4" t="e">
        <f>AND('Listado General'!#REF!,"AAAAAH779ZU=")</f>
        <v>#REF!</v>
      </c>
      <c r="EU4" t="e">
        <f>AND('Listado General'!#REF!,"AAAAAH779ZY=")</f>
        <v>#REF!</v>
      </c>
      <c r="EV4" t="e">
        <f>AND('Listado General'!#REF!,"AAAAAH779Zc=")</f>
        <v>#REF!</v>
      </c>
      <c r="EW4" t="e">
        <f>AND('Listado General'!#REF!,"AAAAAH779Zg=")</f>
        <v>#REF!</v>
      </c>
      <c r="EX4" t="e">
        <f>AND('Listado General'!#REF!,"AAAAAH779Zk=")</f>
        <v>#REF!</v>
      </c>
      <c r="EY4" t="e">
        <f>AND('Listado General'!#REF!,"AAAAAH779Zo=")</f>
        <v>#REF!</v>
      </c>
      <c r="EZ4" t="e">
        <f>AND('Listado General'!#REF!,"AAAAAH779Zs=")</f>
        <v>#REF!</v>
      </c>
      <c r="FA4" t="e">
        <f>AND('Listado General'!#REF!,"AAAAAH779Zw=")</f>
        <v>#REF!</v>
      </c>
      <c r="FB4" t="e">
        <f>IF('Listado General'!#REF!,"AAAAAH779Z0=",0)</f>
        <v>#REF!</v>
      </c>
      <c r="FC4" t="e">
        <f>AND('Listado General'!#REF!,"AAAAAH779Z4=")</f>
        <v>#REF!</v>
      </c>
      <c r="FD4" t="e">
        <f>AND('Listado General'!#REF!,"AAAAAH779Z8=")</f>
        <v>#REF!</v>
      </c>
      <c r="FE4" t="e">
        <f>AND('Listado General'!#REF!,"AAAAAH779aA=")</f>
        <v>#REF!</v>
      </c>
      <c r="FF4" t="e">
        <f>AND('Listado General'!#REF!,"AAAAAH779aE=")</f>
        <v>#REF!</v>
      </c>
      <c r="FG4" t="e">
        <f>AND('Listado General'!#REF!,"AAAAAH779aI=")</f>
        <v>#REF!</v>
      </c>
      <c r="FH4" t="e">
        <f>AND('Listado General'!#REF!,"AAAAAH779aM=")</f>
        <v>#REF!</v>
      </c>
      <c r="FI4" t="e">
        <f>AND('Listado General'!#REF!,"AAAAAH779aQ=")</f>
        <v>#REF!</v>
      </c>
      <c r="FJ4" t="e">
        <f>AND('Listado General'!#REF!,"AAAAAH779aU=")</f>
        <v>#REF!</v>
      </c>
      <c r="FK4" t="e">
        <f>AND('Listado General'!#REF!,"AAAAAH779aY=")</f>
        <v>#REF!</v>
      </c>
      <c r="FL4" t="e">
        <f>IF('Listado General'!#REF!,"AAAAAH779ac=",0)</f>
        <v>#REF!</v>
      </c>
      <c r="FM4" t="e">
        <f>AND('Listado General'!#REF!,"AAAAAH779ag=")</f>
        <v>#REF!</v>
      </c>
      <c r="FN4" t="e">
        <f>AND('Listado General'!#REF!,"AAAAAH779ak=")</f>
        <v>#REF!</v>
      </c>
      <c r="FO4" t="e">
        <f>AND('Listado General'!#REF!,"AAAAAH779ao=")</f>
        <v>#REF!</v>
      </c>
      <c r="FP4" t="e">
        <f>AND('Listado General'!#REF!,"AAAAAH779as=")</f>
        <v>#REF!</v>
      </c>
      <c r="FQ4" t="e">
        <f>AND('Listado General'!#REF!,"AAAAAH779aw=")</f>
        <v>#REF!</v>
      </c>
      <c r="FR4" t="e">
        <f>AND('Listado General'!#REF!,"AAAAAH779a0=")</f>
        <v>#REF!</v>
      </c>
      <c r="FS4" t="e">
        <f>AND('Listado General'!#REF!,"AAAAAH779a4=")</f>
        <v>#REF!</v>
      </c>
      <c r="FT4" t="e">
        <f>AND('Listado General'!#REF!,"AAAAAH779a8=")</f>
        <v>#REF!</v>
      </c>
      <c r="FU4" t="e">
        <f>AND('Listado General'!#REF!,"AAAAAH779bA=")</f>
        <v>#REF!</v>
      </c>
      <c r="FV4" t="e">
        <f>IF('Listado General'!#REF!,"AAAAAH779bE=",0)</f>
        <v>#REF!</v>
      </c>
      <c r="FW4" t="e">
        <f>AND('Listado General'!#REF!,"AAAAAH779bI=")</f>
        <v>#REF!</v>
      </c>
      <c r="FX4" t="e">
        <f>AND('Listado General'!#REF!,"AAAAAH779bM=")</f>
        <v>#REF!</v>
      </c>
      <c r="FY4" t="e">
        <f>AND('Listado General'!#REF!,"AAAAAH779bQ=")</f>
        <v>#REF!</v>
      </c>
      <c r="FZ4" t="e">
        <f>AND('Listado General'!#REF!,"AAAAAH779bU=")</f>
        <v>#REF!</v>
      </c>
      <c r="GA4" t="e">
        <f>AND('Listado General'!#REF!,"AAAAAH779bY=")</f>
        <v>#REF!</v>
      </c>
      <c r="GB4" t="e">
        <f>AND('Listado General'!#REF!,"AAAAAH779bc=")</f>
        <v>#REF!</v>
      </c>
      <c r="GC4" t="e">
        <f>AND('Listado General'!#REF!,"AAAAAH779bg=")</f>
        <v>#REF!</v>
      </c>
      <c r="GD4" t="e">
        <f>AND('Listado General'!#REF!,"AAAAAH779bk=")</f>
        <v>#REF!</v>
      </c>
      <c r="GE4" t="e">
        <f>AND('Listado General'!#REF!,"AAAAAH779bo=")</f>
        <v>#REF!</v>
      </c>
      <c r="GF4" t="e">
        <f>IF('Listado General'!#REF!,"AAAAAH779bs=",0)</f>
        <v>#REF!</v>
      </c>
      <c r="GG4" t="e">
        <f>AND('Listado General'!#REF!,"AAAAAH779bw=")</f>
        <v>#REF!</v>
      </c>
      <c r="GH4" t="e">
        <f>AND('Listado General'!#REF!,"AAAAAH779b0=")</f>
        <v>#REF!</v>
      </c>
      <c r="GI4" t="e">
        <f>AND('Listado General'!#REF!,"AAAAAH779b4=")</f>
        <v>#REF!</v>
      </c>
      <c r="GJ4" t="e">
        <f>AND('Listado General'!#REF!,"AAAAAH779b8=")</f>
        <v>#REF!</v>
      </c>
      <c r="GK4" t="e">
        <f>AND('Listado General'!#REF!,"AAAAAH779cA=")</f>
        <v>#REF!</v>
      </c>
      <c r="GL4" t="e">
        <f>AND('Listado General'!#REF!,"AAAAAH779cE=")</f>
        <v>#REF!</v>
      </c>
      <c r="GM4" t="e">
        <f>AND('Listado General'!#REF!,"AAAAAH779cI=")</f>
        <v>#REF!</v>
      </c>
      <c r="GN4" t="e">
        <f>AND('Listado General'!#REF!,"AAAAAH779cM=")</f>
        <v>#REF!</v>
      </c>
      <c r="GO4" t="e">
        <f>AND('Listado General'!#REF!,"AAAAAH779cQ=")</f>
        <v>#REF!</v>
      </c>
      <c r="GP4" t="e">
        <f>IF('Listado General'!#REF!,"AAAAAH779cU=",0)</f>
        <v>#REF!</v>
      </c>
      <c r="GQ4" t="e">
        <f>AND('Listado General'!#REF!,"AAAAAH779cY=")</f>
        <v>#REF!</v>
      </c>
      <c r="GR4" t="e">
        <f>AND('Listado General'!#REF!,"AAAAAH779cc=")</f>
        <v>#REF!</v>
      </c>
      <c r="GS4" t="e">
        <f>AND('Listado General'!#REF!,"AAAAAH779cg=")</f>
        <v>#REF!</v>
      </c>
      <c r="GT4" t="e">
        <f>AND('Listado General'!#REF!,"AAAAAH779ck=")</f>
        <v>#REF!</v>
      </c>
      <c r="GU4" t="e">
        <f>AND('Listado General'!#REF!,"AAAAAH779co=")</f>
        <v>#REF!</v>
      </c>
      <c r="GV4" t="e">
        <f>AND('Listado General'!#REF!,"AAAAAH779cs=")</f>
        <v>#REF!</v>
      </c>
      <c r="GW4" t="e">
        <f>AND('Listado General'!#REF!,"AAAAAH779cw=")</f>
        <v>#REF!</v>
      </c>
      <c r="GX4" t="e">
        <f>AND('Listado General'!#REF!,"AAAAAH779c0=")</f>
        <v>#REF!</v>
      </c>
      <c r="GY4" t="e">
        <f>AND('Listado General'!#REF!,"AAAAAH779c4=")</f>
        <v>#REF!</v>
      </c>
      <c r="GZ4" t="e">
        <f>IF('Listado General'!#REF!,"AAAAAH779c8=",0)</f>
        <v>#REF!</v>
      </c>
      <c r="HA4" t="e">
        <f>AND('Listado General'!#REF!,"AAAAAH779dA=")</f>
        <v>#REF!</v>
      </c>
      <c r="HB4" t="e">
        <f>AND('Listado General'!#REF!,"AAAAAH779dE=")</f>
        <v>#REF!</v>
      </c>
      <c r="HC4" t="e">
        <f>AND('Listado General'!#REF!,"AAAAAH779dI=")</f>
        <v>#REF!</v>
      </c>
      <c r="HD4" t="e">
        <f>AND('Listado General'!#REF!,"AAAAAH779dM=")</f>
        <v>#REF!</v>
      </c>
      <c r="HE4" t="e">
        <f>AND('Listado General'!#REF!,"AAAAAH779dQ=")</f>
        <v>#REF!</v>
      </c>
      <c r="HF4" t="e">
        <f>AND('Listado General'!#REF!,"AAAAAH779dU=")</f>
        <v>#REF!</v>
      </c>
      <c r="HG4" t="e">
        <f>AND('Listado General'!#REF!,"AAAAAH779dY=")</f>
        <v>#REF!</v>
      </c>
      <c r="HH4" t="e">
        <f>AND('Listado General'!#REF!,"AAAAAH779dc=")</f>
        <v>#REF!</v>
      </c>
      <c r="HI4" t="e">
        <f>AND('Listado General'!#REF!,"AAAAAH779dg=")</f>
        <v>#REF!</v>
      </c>
      <c r="HJ4" t="e">
        <f>IF('Listado General'!#REF!,"AAAAAH779dk=",0)</f>
        <v>#REF!</v>
      </c>
      <c r="HK4" t="e">
        <f>AND('Listado General'!#REF!,"AAAAAH779do=")</f>
        <v>#REF!</v>
      </c>
      <c r="HL4" t="e">
        <f>AND('Listado General'!#REF!,"AAAAAH779ds=")</f>
        <v>#REF!</v>
      </c>
      <c r="HM4" t="e">
        <f>AND('Listado General'!#REF!,"AAAAAH779dw=")</f>
        <v>#REF!</v>
      </c>
      <c r="HN4" t="e">
        <f>AND('Listado General'!#REF!,"AAAAAH779d0=")</f>
        <v>#REF!</v>
      </c>
      <c r="HO4" t="e">
        <f>AND('Listado General'!#REF!,"AAAAAH779d4=")</f>
        <v>#REF!</v>
      </c>
      <c r="HP4" t="e">
        <f>AND('Listado General'!#REF!,"AAAAAH779d8=")</f>
        <v>#REF!</v>
      </c>
      <c r="HQ4" t="e">
        <f>AND('Listado General'!#REF!,"AAAAAH779eA=")</f>
        <v>#REF!</v>
      </c>
      <c r="HR4" t="e">
        <f>AND('Listado General'!#REF!,"AAAAAH779eE=")</f>
        <v>#REF!</v>
      </c>
      <c r="HS4" t="e">
        <f>AND('Listado General'!#REF!,"AAAAAH779eI=")</f>
        <v>#REF!</v>
      </c>
      <c r="HT4" t="e">
        <f>IF('Listado General'!#REF!,"AAAAAH779eM=",0)</f>
        <v>#REF!</v>
      </c>
      <c r="HU4" t="e">
        <f>AND('Listado General'!#REF!,"AAAAAH779eQ=")</f>
        <v>#REF!</v>
      </c>
      <c r="HV4" t="e">
        <f>AND('Listado General'!#REF!,"AAAAAH779eU=")</f>
        <v>#REF!</v>
      </c>
      <c r="HW4" t="e">
        <f>AND('Listado General'!#REF!,"AAAAAH779eY=")</f>
        <v>#REF!</v>
      </c>
      <c r="HX4" t="e">
        <f>AND('Listado General'!#REF!,"AAAAAH779ec=")</f>
        <v>#REF!</v>
      </c>
      <c r="HY4" t="e">
        <f>AND('Listado General'!#REF!,"AAAAAH779eg=")</f>
        <v>#REF!</v>
      </c>
      <c r="HZ4" t="e">
        <f>AND('Listado General'!#REF!,"AAAAAH779ek=")</f>
        <v>#REF!</v>
      </c>
      <c r="IA4" t="e">
        <f>AND('Listado General'!#REF!,"AAAAAH779eo=")</f>
        <v>#REF!</v>
      </c>
      <c r="IB4" t="e">
        <f>AND('Listado General'!#REF!,"AAAAAH779es=")</f>
        <v>#REF!</v>
      </c>
      <c r="IC4" t="e">
        <f>AND('Listado General'!#REF!,"AAAAAH779ew=")</f>
        <v>#REF!</v>
      </c>
      <c r="ID4" t="e">
        <f>IF('Listado General'!#REF!,"AAAAAH779e0=",0)</f>
        <v>#REF!</v>
      </c>
      <c r="IE4" t="e">
        <f>AND('Listado General'!#REF!,"AAAAAH779e4=")</f>
        <v>#REF!</v>
      </c>
      <c r="IF4" t="e">
        <f>AND('Listado General'!#REF!,"AAAAAH779e8=")</f>
        <v>#REF!</v>
      </c>
      <c r="IG4" t="e">
        <f>AND('Listado General'!#REF!,"AAAAAH779fA=")</f>
        <v>#REF!</v>
      </c>
      <c r="IH4" t="e">
        <f>AND('Listado General'!#REF!,"AAAAAH779fE=")</f>
        <v>#REF!</v>
      </c>
      <c r="II4" t="e">
        <f>AND('Listado General'!#REF!,"AAAAAH779fI=")</f>
        <v>#REF!</v>
      </c>
      <c r="IJ4" t="e">
        <f>AND('Listado General'!#REF!,"AAAAAH779fM=")</f>
        <v>#REF!</v>
      </c>
      <c r="IK4" t="e">
        <f>AND('Listado General'!#REF!,"AAAAAH779fQ=")</f>
        <v>#REF!</v>
      </c>
      <c r="IL4" t="e">
        <f>AND('Listado General'!#REF!,"AAAAAH779fU=")</f>
        <v>#REF!</v>
      </c>
      <c r="IM4" t="e">
        <f>AND('Listado General'!#REF!,"AAAAAH779fY=")</f>
        <v>#REF!</v>
      </c>
      <c r="IN4" t="e">
        <f>IF('Listado General'!#REF!,"AAAAAH779fc=",0)</f>
        <v>#REF!</v>
      </c>
      <c r="IO4" t="e">
        <f>AND('Listado General'!#REF!,"AAAAAH779fg=")</f>
        <v>#REF!</v>
      </c>
      <c r="IP4" t="e">
        <f>AND('Listado General'!#REF!,"AAAAAH779fk=")</f>
        <v>#REF!</v>
      </c>
      <c r="IQ4" t="e">
        <f>AND('Listado General'!#REF!,"AAAAAH779fo=")</f>
        <v>#REF!</v>
      </c>
      <c r="IR4" t="e">
        <f>AND('Listado General'!#REF!,"AAAAAH779fs=")</f>
        <v>#REF!</v>
      </c>
      <c r="IS4" t="e">
        <f>AND('Listado General'!#REF!,"AAAAAH779fw=")</f>
        <v>#REF!</v>
      </c>
      <c r="IT4" t="e">
        <f>AND('Listado General'!#REF!,"AAAAAH779f0=")</f>
        <v>#REF!</v>
      </c>
      <c r="IU4" t="e">
        <f>AND('Listado General'!#REF!,"AAAAAH779f4=")</f>
        <v>#REF!</v>
      </c>
      <c r="IV4" t="e">
        <f>AND('Listado General'!#REF!,"AAAAAH779f8=")</f>
        <v>#REF!</v>
      </c>
    </row>
    <row r="5" spans="1:256" ht="12.75">
      <c r="A5" t="e">
        <f>AND('Listado General'!#REF!,"AAAAAH7fNwA=")</f>
        <v>#REF!</v>
      </c>
      <c r="B5" t="e">
        <f>IF('Listado General'!#REF!,"AAAAAH7fNwE=",0)</f>
        <v>#REF!</v>
      </c>
      <c r="C5" t="e">
        <f>AND('Listado General'!#REF!,"AAAAAH7fNwI=")</f>
        <v>#REF!</v>
      </c>
      <c r="D5" t="e">
        <f>AND('Listado General'!#REF!,"AAAAAH7fNwM=")</f>
        <v>#REF!</v>
      </c>
      <c r="E5" t="e">
        <f>AND('Listado General'!#REF!,"AAAAAH7fNwQ=")</f>
        <v>#REF!</v>
      </c>
      <c r="F5" t="e">
        <f>AND('Listado General'!#REF!,"AAAAAH7fNwU=")</f>
        <v>#REF!</v>
      </c>
      <c r="G5" t="e">
        <f>AND('Listado General'!#REF!,"AAAAAH7fNwY=")</f>
        <v>#REF!</v>
      </c>
      <c r="H5" t="e">
        <f>AND('Listado General'!#REF!,"AAAAAH7fNwc=")</f>
        <v>#REF!</v>
      </c>
      <c r="I5" t="e">
        <f>AND('Listado General'!#REF!,"AAAAAH7fNwg=")</f>
        <v>#REF!</v>
      </c>
      <c r="J5" t="e">
        <f>AND('Listado General'!#REF!,"AAAAAH7fNwk=")</f>
        <v>#REF!</v>
      </c>
      <c r="K5" t="e">
        <f>AND('Listado General'!#REF!,"AAAAAH7fNwo=")</f>
        <v>#REF!</v>
      </c>
      <c r="L5" t="e">
        <f>IF('Listado General'!#REF!,"AAAAAH7fNws=",0)</f>
        <v>#REF!</v>
      </c>
      <c r="M5" t="e">
        <f>AND('Listado General'!#REF!,"AAAAAH7fNww=")</f>
        <v>#REF!</v>
      </c>
      <c r="N5" t="e">
        <f>AND('Listado General'!#REF!,"AAAAAH7fNw0=")</f>
        <v>#REF!</v>
      </c>
      <c r="O5" t="e">
        <f>AND('Listado General'!#REF!,"AAAAAH7fNw4=")</f>
        <v>#REF!</v>
      </c>
      <c r="P5" t="e">
        <f>AND('Listado General'!#REF!,"AAAAAH7fNw8=")</f>
        <v>#REF!</v>
      </c>
      <c r="Q5" t="e">
        <f>AND('Listado General'!#REF!,"AAAAAH7fNxA=")</f>
        <v>#REF!</v>
      </c>
      <c r="R5" t="e">
        <f>AND('Listado General'!#REF!,"AAAAAH7fNxE=")</f>
        <v>#REF!</v>
      </c>
      <c r="S5" t="e">
        <f>AND('Listado General'!#REF!,"AAAAAH7fNxI=")</f>
        <v>#REF!</v>
      </c>
      <c r="T5" t="e">
        <f>AND('Listado General'!#REF!,"AAAAAH7fNxM=")</f>
        <v>#REF!</v>
      </c>
      <c r="U5" t="e">
        <f>AND('Listado General'!#REF!,"AAAAAH7fNxQ=")</f>
        <v>#REF!</v>
      </c>
      <c r="V5" t="e">
        <f>IF('Listado General'!#REF!,"AAAAAH7fNxU=",0)</f>
        <v>#REF!</v>
      </c>
      <c r="W5" t="e">
        <f>AND('Listado General'!#REF!,"AAAAAH7fNxY=")</f>
        <v>#REF!</v>
      </c>
      <c r="X5" t="e">
        <f>AND('Listado General'!#REF!,"AAAAAH7fNxc=")</f>
        <v>#REF!</v>
      </c>
      <c r="Y5" t="e">
        <f>AND('Listado General'!#REF!,"AAAAAH7fNxg=")</f>
        <v>#REF!</v>
      </c>
      <c r="Z5" t="e">
        <f>AND('Listado General'!#REF!,"AAAAAH7fNxk=")</f>
        <v>#REF!</v>
      </c>
      <c r="AA5" t="e">
        <f>AND('Listado General'!#REF!,"AAAAAH7fNxo=")</f>
        <v>#REF!</v>
      </c>
      <c r="AB5" t="e">
        <f>AND('Listado General'!#REF!,"AAAAAH7fNxs=")</f>
        <v>#REF!</v>
      </c>
      <c r="AC5" t="e">
        <f>AND('Listado General'!#REF!,"AAAAAH7fNxw=")</f>
        <v>#REF!</v>
      </c>
      <c r="AD5" t="e">
        <f>AND('Listado General'!#REF!,"AAAAAH7fNx0=")</f>
        <v>#REF!</v>
      </c>
      <c r="AE5" t="e">
        <f>AND('Listado General'!#REF!,"AAAAAH7fNx4=")</f>
        <v>#REF!</v>
      </c>
      <c r="AF5" t="e">
        <f>IF('Listado General'!#REF!,"AAAAAH7fNx8=",0)</f>
        <v>#REF!</v>
      </c>
      <c r="AG5" t="e">
        <f>AND('Listado General'!#REF!,"AAAAAH7fNyA=")</f>
        <v>#REF!</v>
      </c>
      <c r="AH5" t="e">
        <f>AND('Listado General'!#REF!,"AAAAAH7fNyE=")</f>
        <v>#REF!</v>
      </c>
      <c r="AI5" t="e">
        <f>AND('Listado General'!#REF!,"AAAAAH7fNyI=")</f>
        <v>#REF!</v>
      </c>
      <c r="AJ5" t="e">
        <f>AND('Listado General'!#REF!,"AAAAAH7fNyM=")</f>
        <v>#REF!</v>
      </c>
      <c r="AK5" t="e">
        <f>AND('Listado General'!#REF!,"AAAAAH7fNyQ=")</f>
        <v>#REF!</v>
      </c>
      <c r="AL5" t="e">
        <f>AND('Listado General'!#REF!,"AAAAAH7fNyU=")</f>
        <v>#REF!</v>
      </c>
      <c r="AM5" t="e">
        <f>AND('Listado General'!#REF!,"AAAAAH7fNyY=")</f>
        <v>#REF!</v>
      </c>
      <c r="AN5" t="e">
        <f>AND('Listado General'!#REF!,"AAAAAH7fNyc=")</f>
        <v>#REF!</v>
      </c>
      <c r="AO5" t="e">
        <f>AND('Listado General'!#REF!,"AAAAAH7fNyg=")</f>
        <v>#REF!</v>
      </c>
      <c r="AP5" t="e">
        <f>IF('Listado General'!#REF!,"AAAAAH7fNyk=",0)</f>
        <v>#REF!</v>
      </c>
      <c r="AQ5" t="e">
        <f>AND('Listado General'!#REF!,"AAAAAH7fNyo=")</f>
        <v>#REF!</v>
      </c>
      <c r="AR5" t="e">
        <f>AND('Listado General'!#REF!,"AAAAAH7fNys=")</f>
        <v>#REF!</v>
      </c>
      <c r="AS5" t="e">
        <f>AND('Listado General'!#REF!,"AAAAAH7fNyw=")</f>
        <v>#REF!</v>
      </c>
      <c r="AT5" t="e">
        <f>AND('Listado General'!#REF!,"AAAAAH7fNy0=")</f>
        <v>#REF!</v>
      </c>
      <c r="AU5" t="e">
        <f>AND('Listado General'!#REF!,"AAAAAH7fNy4=")</f>
        <v>#REF!</v>
      </c>
      <c r="AV5" t="e">
        <f>AND('Listado General'!#REF!,"AAAAAH7fNy8=")</f>
        <v>#REF!</v>
      </c>
      <c r="AW5" t="e">
        <f>AND('Listado General'!#REF!,"AAAAAH7fNzA=")</f>
        <v>#REF!</v>
      </c>
      <c r="AX5" t="e">
        <f>AND('Listado General'!#REF!,"AAAAAH7fNzE=")</f>
        <v>#REF!</v>
      </c>
      <c r="AY5" t="e">
        <f>AND('Listado General'!#REF!,"AAAAAH7fNzI=")</f>
        <v>#REF!</v>
      </c>
      <c r="AZ5" t="e">
        <f>IF('Listado General'!#REF!,"AAAAAH7fNzM=",0)</f>
        <v>#REF!</v>
      </c>
      <c r="BA5" t="e">
        <f>AND('Listado General'!#REF!,"AAAAAH7fNzQ=")</f>
        <v>#REF!</v>
      </c>
      <c r="BB5" t="e">
        <f>AND('Listado General'!#REF!,"AAAAAH7fNzU=")</f>
        <v>#REF!</v>
      </c>
      <c r="BC5" t="e">
        <f>AND('Listado General'!#REF!,"AAAAAH7fNzY=")</f>
        <v>#REF!</v>
      </c>
      <c r="BD5" t="e">
        <f>AND('Listado General'!#REF!,"AAAAAH7fNzc=")</f>
        <v>#REF!</v>
      </c>
      <c r="BE5" t="e">
        <f>AND('Listado General'!#REF!,"AAAAAH7fNzg=")</f>
        <v>#REF!</v>
      </c>
      <c r="BF5" t="e">
        <f>AND('Listado General'!#REF!,"AAAAAH7fNzk=")</f>
        <v>#REF!</v>
      </c>
      <c r="BG5" t="e">
        <f>AND('Listado General'!#REF!,"AAAAAH7fNzo=")</f>
        <v>#REF!</v>
      </c>
      <c r="BH5" t="e">
        <f>AND('Listado General'!#REF!,"AAAAAH7fNzs=")</f>
        <v>#REF!</v>
      </c>
      <c r="BI5" t="e">
        <f>AND('Listado General'!#REF!,"AAAAAH7fNzw=")</f>
        <v>#REF!</v>
      </c>
      <c r="BJ5" t="e">
        <f>IF('Listado General'!#REF!,"AAAAAH7fNz0=",0)</f>
        <v>#REF!</v>
      </c>
      <c r="BK5" t="e">
        <f>AND('Listado General'!#REF!,"AAAAAH7fNz4=")</f>
        <v>#REF!</v>
      </c>
      <c r="BL5" t="e">
        <f>AND('Listado General'!#REF!,"AAAAAH7fNz8=")</f>
        <v>#REF!</v>
      </c>
      <c r="BM5" t="e">
        <f>AND('Listado General'!#REF!,"AAAAAH7fN0A=")</f>
        <v>#REF!</v>
      </c>
      <c r="BN5" t="e">
        <f>AND('Listado General'!#REF!,"AAAAAH7fN0E=")</f>
        <v>#REF!</v>
      </c>
      <c r="BO5" t="e">
        <f>AND('Listado General'!#REF!,"AAAAAH7fN0I=")</f>
        <v>#REF!</v>
      </c>
      <c r="BP5" t="e">
        <f>AND('Listado General'!#REF!,"AAAAAH7fN0M=")</f>
        <v>#REF!</v>
      </c>
      <c r="BQ5" t="e">
        <f>AND('Listado General'!#REF!,"AAAAAH7fN0Q=")</f>
        <v>#REF!</v>
      </c>
      <c r="BR5" t="e">
        <f>AND('Listado General'!#REF!,"AAAAAH7fN0U=")</f>
        <v>#REF!</v>
      </c>
      <c r="BS5" t="e">
        <f>AND('Listado General'!#REF!,"AAAAAH7fN0Y=")</f>
        <v>#REF!</v>
      </c>
      <c r="BT5" t="e">
        <f>IF('Listado General'!#REF!,"AAAAAH7fN0c=",0)</f>
        <v>#REF!</v>
      </c>
      <c r="BU5" t="e">
        <f>AND('Listado General'!#REF!,"AAAAAH7fN0g=")</f>
        <v>#REF!</v>
      </c>
      <c r="BV5" t="e">
        <f>AND('Listado General'!#REF!,"AAAAAH7fN0k=")</f>
        <v>#REF!</v>
      </c>
      <c r="BW5" t="e">
        <f>AND('Listado General'!#REF!,"AAAAAH7fN0o=")</f>
        <v>#REF!</v>
      </c>
      <c r="BX5" t="e">
        <f>AND('Listado General'!#REF!,"AAAAAH7fN0s=")</f>
        <v>#REF!</v>
      </c>
      <c r="BY5" t="e">
        <f>AND('Listado General'!#REF!,"AAAAAH7fN0w=")</f>
        <v>#REF!</v>
      </c>
      <c r="BZ5" t="e">
        <f>AND('Listado General'!#REF!,"AAAAAH7fN00=")</f>
        <v>#REF!</v>
      </c>
      <c r="CA5" t="e">
        <f>AND('Listado General'!#REF!,"AAAAAH7fN04=")</f>
        <v>#REF!</v>
      </c>
      <c r="CB5" t="e">
        <f>AND('Listado General'!#REF!,"AAAAAH7fN08=")</f>
        <v>#REF!</v>
      </c>
      <c r="CC5" t="e">
        <f>AND('Listado General'!#REF!,"AAAAAH7fN1A=")</f>
        <v>#REF!</v>
      </c>
      <c r="CD5" t="e">
        <f>IF('Listado General'!#REF!,"AAAAAH7fN1E=",0)</f>
        <v>#REF!</v>
      </c>
      <c r="CE5" t="e">
        <f>AND('Listado General'!#REF!,"AAAAAH7fN1I=")</f>
        <v>#REF!</v>
      </c>
      <c r="CF5" t="e">
        <f>AND('Listado General'!#REF!,"AAAAAH7fN1M=")</f>
        <v>#REF!</v>
      </c>
      <c r="CG5" t="e">
        <f>AND('Listado General'!#REF!,"AAAAAH7fN1Q=")</f>
        <v>#REF!</v>
      </c>
      <c r="CH5" t="e">
        <f>AND('Listado General'!#REF!,"AAAAAH7fN1U=")</f>
        <v>#REF!</v>
      </c>
      <c r="CI5" t="e">
        <f>AND('Listado General'!#REF!,"AAAAAH7fN1Y=")</f>
        <v>#REF!</v>
      </c>
      <c r="CJ5" t="e">
        <f>AND('Listado General'!#REF!,"AAAAAH7fN1c=")</f>
        <v>#REF!</v>
      </c>
      <c r="CK5" t="e">
        <f>AND('Listado General'!#REF!,"AAAAAH7fN1g=")</f>
        <v>#REF!</v>
      </c>
      <c r="CL5" t="e">
        <f>AND('Listado General'!#REF!,"AAAAAH7fN1k=")</f>
        <v>#REF!</v>
      </c>
      <c r="CM5" t="e">
        <f>AND('Listado General'!#REF!,"AAAAAH7fN1o=")</f>
        <v>#REF!</v>
      </c>
      <c r="CN5" t="e">
        <f>IF('Listado General'!#REF!,"AAAAAH7fN1s=",0)</f>
        <v>#REF!</v>
      </c>
      <c r="CO5" t="e">
        <f>AND('Listado General'!#REF!,"AAAAAH7fN1w=")</f>
        <v>#REF!</v>
      </c>
      <c r="CP5" t="e">
        <f>AND('Listado General'!#REF!,"AAAAAH7fN10=")</f>
        <v>#REF!</v>
      </c>
      <c r="CQ5" t="e">
        <f>AND('Listado General'!#REF!,"AAAAAH7fN14=")</f>
        <v>#REF!</v>
      </c>
      <c r="CR5" t="e">
        <f>AND('Listado General'!#REF!,"AAAAAH7fN18=")</f>
        <v>#REF!</v>
      </c>
      <c r="CS5" t="e">
        <f>AND('Listado General'!#REF!,"AAAAAH7fN2A=")</f>
        <v>#REF!</v>
      </c>
      <c r="CT5" t="e">
        <f>AND('Listado General'!#REF!,"AAAAAH7fN2E=")</f>
        <v>#REF!</v>
      </c>
      <c r="CU5" t="e">
        <f>AND('Listado General'!#REF!,"AAAAAH7fN2I=")</f>
        <v>#REF!</v>
      </c>
      <c r="CV5" t="e">
        <f>AND('Listado General'!#REF!,"AAAAAH7fN2M=")</f>
        <v>#REF!</v>
      </c>
      <c r="CW5" t="e">
        <f>AND('Listado General'!#REF!,"AAAAAH7fN2Q=")</f>
        <v>#REF!</v>
      </c>
      <c r="CX5" t="e">
        <f>IF('Listado General'!#REF!,"AAAAAH7fN2U=",0)</f>
        <v>#REF!</v>
      </c>
      <c r="CY5" t="e">
        <f>AND('Listado General'!#REF!,"AAAAAH7fN2Y=")</f>
        <v>#REF!</v>
      </c>
      <c r="CZ5" t="e">
        <f>AND('Listado General'!#REF!,"AAAAAH7fN2c=")</f>
        <v>#REF!</v>
      </c>
      <c r="DA5" t="e">
        <f>AND('Listado General'!#REF!,"AAAAAH7fN2g=")</f>
        <v>#REF!</v>
      </c>
      <c r="DB5" t="e">
        <f>AND('Listado General'!#REF!,"AAAAAH7fN2k=")</f>
        <v>#REF!</v>
      </c>
      <c r="DC5" t="e">
        <f>AND('Listado General'!#REF!,"AAAAAH7fN2o=")</f>
        <v>#REF!</v>
      </c>
      <c r="DD5" t="e">
        <f>AND('Listado General'!#REF!,"AAAAAH7fN2s=")</f>
        <v>#REF!</v>
      </c>
      <c r="DE5" t="e">
        <f>AND('Listado General'!#REF!,"AAAAAH7fN2w=")</f>
        <v>#REF!</v>
      </c>
      <c r="DF5" t="e">
        <f>AND('Listado General'!#REF!,"AAAAAH7fN20=")</f>
        <v>#REF!</v>
      </c>
      <c r="DG5" t="e">
        <f>AND('Listado General'!#REF!,"AAAAAH7fN24=")</f>
        <v>#REF!</v>
      </c>
      <c r="DH5" t="e">
        <f>IF('Listado General'!#REF!,"AAAAAH7fN28=",0)</f>
        <v>#REF!</v>
      </c>
      <c r="DI5" t="e">
        <f>AND('Listado General'!#REF!,"AAAAAH7fN3A=")</f>
        <v>#REF!</v>
      </c>
      <c r="DJ5" t="e">
        <f>AND('Listado General'!#REF!,"AAAAAH7fN3E=")</f>
        <v>#REF!</v>
      </c>
      <c r="DK5" t="e">
        <f>AND('Listado General'!#REF!,"AAAAAH7fN3I=")</f>
        <v>#REF!</v>
      </c>
      <c r="DL5" t="e">
        <f>AND('Listado General'!#REF!,"AAAAAH7fN3M=")</f>
        <v>#REF!</v>
      </c>
      <c r="DM5" t="e">
        <f>AND('Listado General'!#REF!,"AAAAAH7fN3Q=")</f>
        <v>#REF!</v>
      </c>
      <c r="DN5" t="e">
        <f>AND('Listado General'!#REF!,"AAAAAH7fN3U=")</f>
        <v>#REF!</v>
      </c>
      <c r="DO5" t="e">
        <f>AND('Listado General'!#REF!,"AAAAAH7fN3Y=")</f>
        <v>#REF!</v>
      </c>
      <c r="DP5" t="e">
        <f>AND('Listado General'!#REF!,"AAAAAH7fN3c=")</f>
        <v>#REF!</v>
      </c>
      <c r="DQ5" t="e">
        <f>AND('Listado General'!#REF!,"AAAAAH7fN3g=")</f>
        <v>#REF!</v>
      </c>
      <c r="DR5" t="e">
        <f>IF('Listado General'!#REF!,"AAAAAH7fN3k=",0)</f>
        <v>#REF!</v>
      </c>
      <c r="DS5" t="e">
        <f>AND('Listado General'!#REF!,"AAAAAH7fN3o=")</f>
        <v>#REF!</v>
      </c>
      <c r="DT5" t="e">
        <f>AND('Listado General'!#REF!,"AAAAAH7fN3s=")</f>
        <v>#REF!</v>
      </c>
      <c r="DU5" t="e">
        <f>AND('Listado General'!#REF!,"AAAAAH7fN3w=")</f>
        <v>#REF!</v>
      </c>
      <c r="DV5" t="e">
        <f>AND('Listado General'!#REF!,"AAAAAH7fN30=")</f>
        <v>#REF!</v>
      </c>
      <c r="DW5" t="e">
        <f>AND('Listado General'!#REF!,"AAAAAH7fN34=")</f>
        <v>#REF!</v>
      </c>
      <c r="DX5" t="e">
        <f>AND('Listado General'!#REF!,"AAAAAH7fN38=")</f>
        <v>#REF!</v>
      </c>
      <c r="DY5" t="e">
        <f>AND('Listado General'!#REF!,"AAAAAH7fN4A=")</f>
        <v>#REF!</v>
      </c>
      <c r="DZ5" t="e">
        <f>AND('Listado General'!#REF!,"AAAAAH7fN4E=")</f>
        <v>#REF!</v>
      </c>
      <c r="EA5" t="e">
        <f>AND('Listado General'!#REF!,"AAAAAH7fN4I=")</f>
        <v>#REF!</v>
      </c>
      <c r="EB5" t="e">
        <f>IF('Listado General'!#REF!,"AAAAAH7fN4M=",0)</f>
        <v>#REF!</v>
      </c>
      <c r="EC5" t="e">
        <f>AND('Listado General'!#REF!,"AAAAAH7fN4Q=")</f>
        <v>#REF!</v>
      </c>
      <c r="ED5" t="e">
        <f>AND('Listado General'!#REF!,"AAAAAH7fN4U=")</f>
        <v>#REF!</v>
      </c>
      <c r="EE5" t="e">
        <f>AND('Listado General'!#REF!,"AAAAAH7fN4Y=")</f>
        <v>#REF!</v>
      </c>
      <c r="EF5" t="e">
        <f>AND('Listado General'!#REF!,"AAAAAH7fN4c=")</f>
        <v>#REF!</v>
      </c>
      <c r="EG5" t="e">
        <f>AND('Listado General'!#REF!,"AAAAAH7fN4g=")</f>
        <v>#REF!</v>
      </c>
      <c r="EH5" t="e">
        <f>AND('Listado General'!#REF!,"AAAAAH7fN4k=")</f>
        <v>#REF!</v>
      </c>
      <c r="EI5" t="e">
        <f>AND('Listado General'!#REF!,"AAAAAH7fN4o=")</f>
        <v>#REF!</v>
      </c>
      <c r="EJ5" t="e">
        <f>AND('Listado General'!#REF!,"AAAAAH7fN4s=")</f>
        <v>#REF!</v>
      </c>
      <c r="EK5" t="e">
        <f>AND('Listado General'!#REF!,"AAAAAH7fN4w=")</f>
        <v>#REF!</v>
      </c>
      <c r="EL5" t="e">
        <f>IF('Listado General'!#REF!,"AAAAAH7fN40=",0)</f>
        <v>#REF!</v>
      </c>
      <c r="EM5" t="e">
        <f>AND('Listado General'!#REF!,"AAAAAH7fN44=")</f>
        <v>#REF!</v>
      </c>
      <c r="EN5" t="e">
        <f>AND('Listado General'!#REF!,"AAAAAH7fN48=")</f>
        <v>#REF!</v>
      </c>
      <c r="EO5" t="e">
        <f>AND('Listado General'!#REF!,"AAAAAH7fN5A=")</f>
        <v>#REF!</v>
      </c>
      <c r="EP5" t="e">
        <f>AND('Listado General'!#REF!,"AAAAAH7fN5E=")</f>
        <v>#REF!</v>
      </c>
      <c r="EQ5" t="e">
        <f>AND('Listado General'!#REF!,"AAAAAH7fN5I=")</f>
        <v>#REF!</v>
      </c>
      <c r="ER5" t="e">
        <f>AND('Listado General'!#REF!,"AAAAAH7fN5M=")</f>
        <v>#REF!</v>
      </c>
      <c r="ES5" t="e">
        <f>AND('Listado General'!#REF!,"AAAAAH7fN5Q=")</f>
        <v>#REF!</v>
      </c>
      <c r="ET5" t="e">
        <f>AND('Listado General'!#REF!,"AAAAAH7fN5U=")</f>
        <v>#REF!</v>
      </c>
      <c r="EU5" t="e">
        <f>AND('Listado General'!#REF!,"AAAAAH7fN5Y=")</f>
        <v>#REF!</v>
      </c>
      <c r="EV5" t="e">
        <f>IF('Listado General'!#REF!,"AAAAAH7fN5c=",0)</f>
        <v>#REF!</v>
      </c>
      <c r="EW5" t="e">
        <f>AND('Listado General'!#REF!,"AAAAAH7fN5g=")</f>
        <v>#REF!</v>
      </c>
      <c r="EX5" t="e">
        <f>AND('Listado General'!#REF!,"AAAAAH7fN5k=")</f>
        <v>#REF!</v>
      </c>
      <c r="EY5" t="e">
        <f>AND('Listado General'!#REF!,"AAAAAH7fN5o=")</f>
        <v>#REF!</v>
      </c>
      <c r="EZ5" t="e">
        <f>AND('Listado General'!#REF!,"AAAAAH7fN5s=")</f>
        <v>#REF!</v>
      </c>
      <c r="FA5" t="e">
        <f>AND('Listado General'!#REF!,"AAAAAH7fN5w=")</f>
        <v>#REF!</v>
      </c>
      <c r="FB5" t="e">
        <f>AND('Listado General'!#REF!,"AAAAAH7fN50=")</f>
        <v>#REF!</v>
      </c>
      <c r="FC5" t="e">
        <f>AND('Listado General'!#REF!,"AAAAAH7fN54=")</f>
        <v>#REF!</v>
      </c>
      <c r="FD5" t="e">
        <f>AND('Listado General'!#REF!,"AAAAAH7fN58=")</f>
        <v>#REF!</v>
      </c>
      <c r="FE5" t="e">
        <f>AND('Listado General'!#REF!,"AAAAAH7fN6A=")</f>
        <v>#REF!</v>
      </c>
      <c r="FF5" t="e">
        <f>IF('Listado General'!#REF!,"AAAAAH7fN6E=",0)</f>
        <v>#REF!</v>
      </c>
      <c r="FG5" t="e">
        <f>AND('Listado General'!#REF!,"AAAAAH7fN6I=")</f>
        <v>#REF!</v>
      </c>
      <c r="FH5" t="e">
        <f>AND('Listado General'!#REF!,"AAAAAH7fN6M=")</f>
        <v>#REF!</v>
      </c>
      <c r="FI5" t="e">
        <f>AND('Listado General'!#REF!,"AAAAAH7fN6Q=")</f>
        <v>#REF!</v>
      </c>
      <c r="FJ5" t="e">
        <f>AND('Listado General'!#REF!,"AAAAAH7fN6U=")</f>
        <v>#REF!</v>
      </c>
      <c r="FK5" t="e">
        <f>AND('Listado General'!#REF!,"AAAAAH7fN6Y=")</f>
        <v>#REF!</v>
      </c>
      <c r="FL5" t="e">
        <f>AND('Listado General'!#REF!,"AAAAAH7fN6c=")</f>
        <v>#REF!</v>
      </c>
      <c r="FM5" t="e">
        <f>AND('Listado General'!#REF!,"AAAAAH7fN6g=")</f>
        <v>#REF!</v>
      </c>
      <c r="FN5" t="e">
        <f>AND('Listado General'!#REF!,"AAAAAH7fN6k=")</f>
        <v>#REF!</v>
      </c>
      <c r="FO5" t="e">
        <f>AND('Listado General'!#REF!,"AAAAAH7fN6o=")</f>
        <v>#REF!</v>
      </c>
      <c r="FP5" t="e">
        <f>IF('Listado General'!#REF!,"AAAAAH7fN6s=",0)</f>
        <v>#REF!</v>
      </c>
      <c r="FQ5" t="e">
        <f>AND('Listado General'!#REF!,"AAAAAH7fN6w=")</f>
        <v>#REF!</v>
      </c>
      <c r="FR5" t="e">
        <f>AND('Listado General'!#REF!,"AAAAAH7fN60=")</f>
        <v>#REF!</v>
      </c>
      <c r="FS5" t="e">
        <f>AND('Listado General'!#REF!,"AAAAAH7fN64=")</f>
        <v>#REF!</v>
      </c>
      <c r="FT5" t="e">
        <f>AND('Listado General'!#REF!,"AAAAAH7fN68=")</f>
        <v>#REF!</v>
      </c>
      <c r="FU5" t="e">
        <f>AND('Listado General'!#REF!,"AAAAAH7fN7A=")</f>
        <v>#REF!</v>
      </c>
      <c r="FV5" t="e">
        <f>AND('Listado General'!#REF!,"AAAAAH7fN7E=")</f>
        <v>#REF!</v>
      </c>
      <c r="FW5" t="e">
        <f>AND('Listado General'!#REF!,"AAAAAH7fN7I=")</f>
        <v>#REF!</v>
      </c>
      <c r="FX5" t="e">
        <f>AND('Listado General'!#REF!,"AAAAAH7fN7M=")</f>
        <v>#REF!</v>
      </c>
      <c r="FY5" t="e">
        <f>AND('Listado General'!#REF!,"AAAAAH7fN7Q=")</f>
        <v>#REF!</v>
      </c>
      <c r="FZ5" t="e">
        <f>IF('Listado General'!#REF!,"AAAAAH7fN7U=",0)</f>
        <v>#REF!</v>
      </c>
      <c r="GA5" t="e">
        <f>AND('Listado General'!#REF!,"AAAAAH7fN7Y=")</f>
        <v>#REF!</v>
      </c>
      <c r="GB5" t="e">
        <f>AND('Listado General'!#REF!,"AAAAAH7fN7c=")</f>
        <v>#REF!</v>
      </c>
      <c r="GC5" t="e">
        <f>AND('Listado General'!#REF!,"AAAAAH7fN7g=")</f>
        <v>#REF!</v>
      </c>
      <c r="GD5" t="e">
        <f>AND('Listado General'!#REF!,"AAAAAH7fN7k=")</f>
        <v>#REF!</v>
      </c>
      <c r="GE5" t="e">
        <f>AND('Listado General'!#REF!,"AAAAAH7fN7o=")</f>
        <v>#REF!</v>
      </c>
      <c r="GF5" t="e">
        <f>AND('Listado General'!#REF!,"AAAAAH7fN7s=")</f>
        <v>#REF!</v>
      </c>
      <c r="GG5" t="e">
        <f>AND('Listado General'!#REF!,"AAAAAH7fN7w=")</f>
        <v>#REF!</v>
      </c>
      <c r="GH5" t="e">
        <f>AND('Listado General'!#REF!,"AAAAAH7fN70=")</f>
        <v>#REF!</v>
      </c>
      <c r="GI5" t="e">
        <f>AND('Listado General'!#REF!,"AAAAAH7fN74=")</f>
        <v>#REF!</v>
      </c>
      <c r="GJ5" t="e">
        <f>IF('Listado General'!#REF!,"AAAAAH7fN78=",0)</f>
        <v>#REF!</v>
      </c>
      <c r="GK5" t="e">
        <f>AND('Listado General'!#REF!,"AAAAAH7fN8A=")</f>
        <v>#REF!</v>
      </c>
      <c r="GL5" t="e">
        <f>AND('Listado General'!#REF!,"AAAAAH7fN8E=")</f>
        <v>#REF!</v>
      </c>
      <c r="GM5" t="e">
        <f>AND('Listado General'!#REF!,"AAAAAH7fN8I=")</f>
        <v>#REF!</v>
      </c>
      <c r="GN5" t="e">
        <f>AND('Listado General'!#REF!,"AAAAAH7fN8M=")</f>
        <v>#REF!</v>
      </c>
      <c r="GO5" t="e">
        <f>AND('Listado General'!#REF!,"AAAAAH7fN8Q=")</f>
        <v>#REF!</v>
      </c>
      <c r="GP5" t="e">
        <f>AND('Listado General'!#REF!,"AAAAAH7fN8U=")</f>
        <v>#REF!</v>
      </c>
      <c r="GQ5" t="e">
        <f>AND('Listado General'!#REF!,"AAAAAH7fN8Y=")</f>
        <v>#REF!</v>
      </c>
      <c r="GR5" t="e">
        <f>AND('Listado General'!#REF!,"AAAAAH7fN8c=")</f>
        <v>#REF!</v>
      </c>
      <c r="GS5" t="e">
        <f>AND('Listado General'!#REF!,"AAAAAH7fN8g=")</f>
        <v>#REF!</v>
      </c>
      <c r="GT5" t="e">
        <f>IF('Listado General'!#REF!,"AAAAAH7fN8k=",0)</f>
        <v>#REF!</v>
      </c>
      <c r="GU5" t="e">
        <f>AND('Listado General'!#REF!,"AAAAAH7fN8o=")</f>
        <v>#REF!</v>
      </c>
      <c r="GV5" t="e">
        <f>AND('Listado General'!#REF!,"AAAAAH7fN8s=")</f>
        <v>#REF!</v>
      </c>
      <c r="GW5" t="e">
        <f>AND('Listado General'!#REF!,"AAAAAH7fN8w=")</f>
        <v>#REF!</v>
      </c>
      <c r="GX5" t="e">
        <f>AND('Listado General'!#REF!,"AAAAAH7fN80=")</f>
        <v>#REF!</v>
      </c>
      <c r="GY5" t="e">
        <f>AND('Listado General'!#REF!,"AAAAAH7fN84=")</f>
        <v>#REF!</v>
      </c>
      <c r="GZ5" t="e">
        <f>AND('Listado General'!#REF!,"AAAAAH7fN88=")</f>
        <v>#REF!</v>
      </c>
      <c r="HA5" t="e">
        <f>AND('Listado General'!#REF!,"AAAAAH7fN9A=")</f>
        <v>#REF!</v>
      </c>
      <c r="HB5" t="e">
        <f>AND('Listado General'!#REF!,"AAAAAH7fN9E=")</f>
        <v>#REF!</v>
      </c>
      <c r="HC5" t="e">
        <f>AND('Listado General'!#REF!,"AAAAAH7fN9I=")</f>
        <v>#REF!</v>
      </c>
      <c r="HD5" t="e">
        <f>IF('Listado General'!#REF!,"AAAAAH7fN9M=",0)</f>
        <v>#REF!</v>
      </c>
      <c r="HE5" t="e">
        <f>AND('Listado General'!#REF!,"AAAAAH7fN9Q=")</f>
        <v>#REF!</v>
      </c>
      <c r="HF5" t="e">
        <f>AND('Listado General'!#REF!,"AAAAAH7fN9U=")</f>
        <v>#REF!</v>
      </c>
      <c r="HG5" t="e">
        <f>AND('Listado General'!#REF!,"AAAAAH7fN9Y=")</f>
        <v>#REF!</v>
      </c>
      <c r="HH5" t="e">
        <f>AND('Listado General'!#REF!,"AAAAAH7fN9c=")</f>
        <v>#REF!</v>
      </c>
      <c r="HI5" t="e">
        <f>AND('Listado General'!#REF!,"AAAAAH7fN9g=")</f>
        <v>#REF!</v>
      </c>
      <c r="HJ5" t="e">
        <f>AND('Listado General'!#REF!,"AAAAAH7fN9k=")</f>
        <v>#REF!</v>
      </c>
      <c r="HK5" t="e">
        <f>AND('Listado General'!#REF!,"AAAAAH7fN9o=")</f>
        <v>#REF!</v>
      </c>
      <c r="HL5" t="e">
        <f>AND('Listado General'!#REF!,"AAAAAH7fN9s=")</f>
        <v>#REF!</v>
      </c>
      <c r="HM5" t="e">
        <f>AND('Listado General'!#REF!,"AAAAAH7fN9w=")</f>
        <v>#REF!</v>
      </c>
      <c r="HN5" t="e">
        <f>IF('Listado General'!#REF!,"AAAAAH7fN90=",0)</f>
        <v>#REF!</v>
      </c>
      <c r="HO5" t="e">
        <f>AND('Listado General'!#REF!,"AAAAAH7fN94=")</f>
        <v>#REF!</v>
      </c>
      <c r="HP5" t="e">
        <f>AND('Listado General'!#REF!,"AAAAAH7fN98=")</f>
        <v>#REF!</v>
      </c>
      <c r="HQ5" t="e">
        <f>AND('Listado General'!#REF!,"AAAAAH7fN+A=")</f>
        <v>#REF!</v>
      </c>
      <c r="HR5" t="e">
        <f>AND('Listado General'!#REF!,"AAAAAH7fN+E=")</f>
        <v>#REF!</v>
      </c>
      <c r="HS5" t="e">
        <f>AND('Listado General'!#REF!,"AAAAAH7fN+I=")</f>
        <v>#REF!</v>
      </c>
      <c r="HT5" t="e">
        <f>AND('Listado General'!#REF!,"AAAAAH7fN+M=")</f>
        <v>#REF!</v>
      </c>
      <c r="HU5" t="e">
        <f>AND('Listado General'!#REF!,"AAAAAH7fN+Q=")</f>
        <v>#REF!</v>
      </c>
      <c r="HV5" t="e">
        <f>AND('Listado General'!#REF!,"AAAAAH7fN+U=")</f>
        <v>#REF!</v>
      </c>
      <c r="HW5" t="e">
        <f>AND('Listado General'!#REF!,"AAAAAH7fN+Y=")</f>
        <v>#REF!</v>
      </c>
      <c r="HX5" t="e">
        <f>IF('Listado General'!#REF!,"AAAAAH7fN+c=",0)</f>
        <v>#REF!</v>
      </c>
      <c r="HY5" t="e">
        <f>AND('Listado General'!#REF!,"AAAAAH7fN+g=")</f>
        <v>#REF!</v>
      </c>
      <c r="HZ5" t="e">
        <f>AND('Listado General'!#REF!,"AAAAAH7fN+k=")</f>
        <v>#REF!</v>
      </c>
      <c r="IA5" t="e">
        <f>AND('Listado General'!#REF!,"AAAAAH7fN+o=")</f>
        <v>#REF!</v>
      </c>
      <c r="IB5" t="e">
        <f>AND('Listado General'!#REF!,"AAAAAH7fN+s=")</f>
        <v>#REF!</v>
      </c>
      <c r="IC5" t="e">
        <f>AND('Listado General'!#REF!,"AAAAAH7fN+w=")</f>
        <v>#REF!</v>
      </c>
      <c r="ID5" t="e">
        <f>AND('Listado General'!#REF!,"AAAAAH7fN+0=")</f>
        <v>#REF!</v>
      </c>
      <c r="IE5" t="e">
        <f>AND('Listado General'!#REF!,"AAAAAH7fN+4=")</f>
        <v>#REF!</v>
      </c>
      <c r="IF5" t="e">
        <f>AND('Listado General'!#REF!,"AAAAAH7fN+8=")</f>
        <v>#REF!</v>
      </c>
      <c r="IG5" t="e">
        <f>AND('Listado General'!#REF!,"AAAAAH7fN/A=")</f>
        <v>#REF!</v>
      </c>
      <c r="IH5" t="e">
        <f>IF('Listado General'!#REF!,"AAAAAH7fN/E=",0)</f>
        <v>#REF!</v>
      </c>
      <c r="II5" t="e">
        <f>AND('Listado General'!#REF!,"AAAAAH7fN/I=")</f>
        <v>#REF!</v>
      </c>
      <c r="IJ5" t="e">
        <f>AND('Listado General'!#REF!,"AAAAAH7fN/M=")</f>
        <v>#REF!</v>
      </c>
      <c r="IK5" t="e">
        <f>AND('Listado General'!#REF!,"AAAAAH7fN/Q=")</f>
        <v>#REF!</v>
      </c>
      <c r="IL5" t="e">
        <f>AND('Listado General'!#REF!,"AAAAAH7fN/U=")</f>
        <v>#REF!</v>
      </c>
      <c r="IM5" t="e">
        <f>AND('Listado General'!#REF!,"AAAAAH7fN/Y=")</f>
        <v>#REF!</v>
      </c>
      <c r="IN5" t="e">
        <f>AND('Listado General'!#REF!,"AAAAAH7fN/c=")</f>
        <v>#REF!</v>
      </c>
      <c r="IO5" t="e">
        <f>AND('Listado General'!#REF!,"AAAAAH7fN/g=")</f>
        <v>#REF!</v>
      </c>
      <c r="IP5" t="e">
        <f>AND('Listado General'!#REF!,"AAAAAH7fN/k=")</f>
        <v>#REF!</v>
      </c>
      <c r="IQ5" t="e">
        <f>AND('Listado General'!#REF!,"AAAAAH7fN/o=")</f>
        <v>#REF!</v>
      </c>
      <c r="IR5" t="e">
        <f>IF('Listado General'!#REF!,"AAAAAH7fN/s=",0)</f>
        <v>#REF!</v>
      </c>
      <c r="IS5" t="e">
        <f>AND('Listado General'!#REF!,"AAAAAH7fN/w=")</f>
        <v>#REF!</v>
      </c>
      <c r="IT5" t="e">
        <f>AND('Listado General'!#REF!,"AAAAAH7fN/0=")</f>
        <v>#REF!</v>
      </c>
      <c r="IU5" t="e">
        <f>AND('Listado General'!#REF!,"AAAAAH7fN/4=")</f>
        <v>#REF!</v>
      </c>
      <c r="IV5" t="e">
        <f>AND('Listado General'!#REF!,"AAAAAH7fN/8=")</f>
        <v>#REF!</v>
      </c>
    </row>
    <row r="6" spans="1:256" ht="12.75">
      <c r="A6" t="e">
        <f>AND('Listado General'!#REF!,"AAAAAHPPeQA=")</f>
        <v>#REF!</v>
      </c>
      <c r="B6" t="e">
        <f>AND('Listado General'!#REF!,"AAAAAHPPeQE=")</f>
        <v>#REF!</v>
      </c>
      <c r="C6" t="e">
        <f>AND('Listado General'!#REF!,"AAAAAHPPeQI=")</f>
        <v>#REF!</v>
      </c>
      <c r="D6" t="e">
        <f>AND('Listado General'!#REF!,"AAAAAHPPeQM=")</f>
        <v>#REF!</v>
      </c>
      <c r="E6" t="e">
        <f>AND('Listado General'!#REF!,"AAAAAHPPeQQ=")</f>
        <v>#REF!</v>
      </c>
      <c r="F6" t="e">
        <f>IF('Listado General'!#REF!,"AAAAAHPPeQU=",0)</f>
        <v>#REF!</v>
      </c>
      <c r="G6" t="e">
        <f>AND('Listado General'!#REF!,"AAAAAHPPeQY=")</f>
        <v>#REF!</v>
      </c>
      <c r="H6" t="e">
        <f>AND('Listado General'!#REF!,"AAAAAHPPeQc=")</f>
        <v>#REF!</v>
      </c>
      <c r="I6" t="e">
        <f>AND('Listado General'!#REF!,"AAAAAHPPeQg=")</f>
        <v>#REF!</v>
      </c>
      <c r="J6" t="e">
        <f>AND('Listado General'!#REF!,"AAAAAHPPeQk=")</f>
        <v>#REF!</v>
      </c>
      <c r="K6" t="e">
        <f>AND('Listado General'!#REF!,"AAAAAHPPeQo=")</f>
        <v>#REF!</v>
      </c>
      <c r="L6" t="e">
        <f>AND('Listado General'!#REF!,"AAAAAHPPeQs=")</f>
        <v>#REF!</v>
      </c>
      <c r="M6" t="e">
        <f>AND('Listado General'!#REF!,"AAAAAHPPeQw=")</f>
        <v>#REF!</v>
      </c>
      <c r="N6" t="e">
        <f>AND('Listado General'!#REF!,"AAAAAHPPeQ0=")</f>
        <v>#REF!</v>
      </c>
      <c r="O6" t="e">
        <f>AND('Listado General'!#REF!,"AAAAAHPPeQ4=")</f>
        <v>#REF!</v>
      </c>
      <c r="P6" t="e">
        <f>IF('Listado General'!#REF!,"AAAAAHPPeQ8=",0)</f>
        <v>#REF!</v>
      </c>
      <c r="Q6" t="e">
        <f>AND('Listado General'!#REF!,"AAAAAHPPeRA=")</f>
        <v>#REF!</v>
      </c>
      <c r="R6" t="e">
        <f>AND('Listado General'!#REF!,"AAAAAHPPeRE=")</f>
        <v>#REF!</v>
      </c>
      <c r="S6" t="e">
        <f>AND('Listado General'!#REF!,"AAAAAHPPeRI=")</f>
        <v>#REF!</v>
      </c>
      <c r="T6" t="e">
        <f>AND('Listado General'!#REF!,"AAAAAHPPeRM=")</f>
        <v>#REF!</v>
      </c>
      <c r="U6" t="e">
        <f>AND('Listado General'!#REF!,"AAAAAHPPeRQ=")</f>
        <v>#REF!</v>
      </c>
      <c r="V6" t="e">
        <f>AND('Listado General'!#REF!,"AAAAAHPPeRU=")</f>
        <v>#REF!</v>
      </c>
      <c r="W6" t="e">
        <f>AND('Listado General'!#REF!,"AAAAAHPPeRY=")</f>
        <v>#REF!</v>
      </c>
      <c r="X6" t="e">
        <f>AND('Listado General'!#REF!,"AAAAAHPPeRc=")</f>
        <v>#REF!</v>
      </c>
      <c r="Y6" t="e">
        <f>AND('Listado General'!#REF!,"AAAAAHPPeRg=")</f>
        <v>#REF!</v>
      </c>
      <c r="Z6" t="e">
        <f>IF('Listado General'!#REF!,"AAAAAHPPeRk=",0)</f>
        <v>#REF!</v>
      </c>
      <c r="AA6" t="e">
        <f>AND('Listado General'!#REF!,"AAAAAHPPeRo=")</f>
        <v>#REF!</v>
      </c>
      <c r="AB6" t="e">
        <f>AND('Listado General'!#REF!,"AAAAAHPPeRs=")</f>
        <v>#REF!</v>
      </c>
      <c r="AC6" t="e">
        <f>AND('Listado General'!#REF!,"AAAAAHPPeRw=")</f>
        <v>#REF!</v>
      </c>
      <c r="AD6" t="e">
        <f>AND('Listado General'!#REF!,"AAAAAHPPeR0=")</f>
        <v>#REF!</v>
      </c>
      <c r="AE6" t="e">
        <f>AND('Listado General'!#REF!,"AAAAAHPPeR4=")</f>
        <v>#REF!</v>
      </c>
      <c r="AF6" t="e">
        <f>AND('Listado General'!#REF!,"AAAAAHPPeR8=")</f>
        <v>#REF!</v>
      </c>
      <c r="AG6" t="e">
        <f>AND('Listado General'!#REF!,"AAAAAHPPeSA=")</f>
        <v>#REF!</v>
      </c>
      <c r="AH6" t="e">
        <f>AND('Listado General'!#REF!,"AAAAAHPPeSE=")</f>
        <v>#REF!</v>
      </c>
      <c r="AI6" t="e">
        <f>AND('Listado General'!#REF!,"AAAAAHPPeSI=")</f>
        <v>#REF!</v>
      </c>
      <c r="AJ6" t="e">
        <f>IF('Listado General'!#REF!,"AAAAAHPPeSM=",0)</f>
        <v>#REF!</v>
      </c>
      <c r="AK6" t="e">
        <f>AND('Listado General'!#REF!,"AAAAAHPPeSQ=")</f>
        <v>#REF!</v>
      </c>
      <c r="AL6" t="e">
        <f>AND('Listado General'!#REF!,"AAAAAHPPeSU=")</f>
        <v>#REF!</v>
      </c>
      <c r="AM6" t="e">
        <f>AND('Listado General'!#REF!,"AAAAAHPPeSY=")</f>
        <v>#REF!</v>
      </c>
      <c r="AN6" t="e">
        <f>AND('Listado General'!#REF!,"AAAAAHPPeSc=")</f>
        <v>#REF!</v>
      </c>
      <c r="AO6" t="e">
        <f>AND('Listado General'!#REF!,"AAAAAHPPeSg=")</f>
        <v>#REF!</v>
      </c>
      <c r="AP6" t="e">
        <f>AND('Listado General'!#REF!,"AAAAAHPPeSk=")</f>
        <v>#REF!</v>
      </c>
      <c r="AQ6" t="e">
        <f>AND('Listado General'!#REF!,"AAAAAHPPeSo=")</f>
        <v>#REF!</v>
      </c>
      <c r="AR6" t="e">
        <f>AND('Listado General'!#REF!,"AAAAAHPPeSs=")</f>
        <v>#REF!</v>
      </c>
      <c r="AS6" t="e">
        <f>AND('Listado General'!#REF!,"AAAAAHPPeSw=")</f>
        <v>#REF!</v>
      </c>
      <c r="AT6" t="e">
        <f>IF('Listado General'!#REF!,"AAAAAHPPeS0=",0)</f>
        <v>#REF!</v>
      </c>
      <c r="AU6" t="e">
        <f>AND('Listado General'!#REF!,"AAAAAHPPeS4=")</f>
        <v>#REF!</v>
      </c>
      <c r="AV6" t="e">
        <f>AND('Listado General'!#REF!,"AAAAAHPPeS8=")</f>
        <v>#REF!</v>
      </c>
      <c r="AW6" t="e">
        <f>AND('Listado General'!#REF!,"AAAAAHPPeTA=")</f>
        <v>#REF!</v>
      </c>
      <c r="AX6" t="e">
        <f>AND('Listado General'!#REF!,"AAAAAHPPeTE=")</f>
        <v>#REF!</v>
      </c>
      <c r="AY6" t="e">
        <f>AND('Listado General'!#REF!,"AAAAAHPPeTI=")</f>
        <v>#REF!</v>
      </c>
      <c r="AZ6" t="e">
        <f>AND('Listado General'!#REF!,"AAAAAHPPeTM=")</f>
        <v>#REF!</v>
      </c>
      <c r="BA6" t="e">
        <f>AND('Listado General'!#REF!,"AAAAAHPPeTQ=")</f>
        <v>#REF!</v>
      </c>
      <c r="BB6" t="e">
        <f>AND('Listado General'!#REF!,"AAAAAHPPeTU=")</f>
        <v>#REF!</v>
      </c>
      <c r="BC6" t="e">
        <f>AND('Listado General'!#REF!,"AAAAAHPPeTY=")</f>
        <v>#REF!</v>
      </c>
      <c r="BD6" t="e">
        <f>IF('Listado General'!#REF!,"AAAAAHPPeTc=",0)</f>
        <v>#REF!</v>
      </c>
      <c r="BE6" t="e">
        <f>AND('Listado General'!#REF!,"AAAAAHPPeTg=")</f>
        <v>#REF!</v>
      </c>
      <c r="BF6" t="e">
        <f>AND('Listado General'!#REF!,"AAAAAHPPeTk=")</f>
        <v>#REF!</v>
      </c>
      <c r="BG6" t="e">
        <f>AND('Listado General'!#REF!,"AAAAAHPPeTo=")</f>
        <v>#REF!</v>
      </c>
      <c r="BH6" t="e">
        <f>AND('Listado General'!#REF!,"AAAAAHPPeTs=")</f>
        <v>#REF!</v>
      </c>
      <c r="BI6" t="e">
        <f>AND('Listado General'!#REF!,"AAAAAHPPeTw=")</f>
        <v>#REF!</v>
      </c>
      <c r="BJ6" t="e">
        <f>AND('Listado General'!#REF!,"AAAAAHPPeT0=")</f>
        <v>#REF!</v>
      </c>
      <c r="BK6" t="e">
        <f>AND('Listado General'!#REF!,"AAAAAHPPeT4=")</f>
        <v>#REF!</v>
      </c>
      <c r="BL6" t="e">
        <f>AND('Listado General'!#REF!,"AAAAAHPPeT8=")</f>
        <v>#REF!</v>
      </c>
      <c r="BM6" t="e">
        <f>AND('Listado General'!#REF!,"AAAAAHPPeUA=")</f>
        <v>#REF!</v>
      </c>
      <c r="BN6" t="e">
        <f>IF('Listado General'!#REF!,"AAAAAHPPeUE=",0)</f>
        <v>#REF!</v>
      </c>
      <c r="BO6" t="e">
        <f>AND('Listado General'!#REF!,"AAAAAHPPeUI=")</f>
        <v>#REF!</v>
      </c>
      <c r="BP6" t="e">
        <f>AND('Listado General'!#REF!,"AAAAAHPPeUM=")</f>
        <v>#REF!</v>
      </c>
      <c r="BQ6" t="e">
        <f>AND('Listado General'!#REF!,"AAAAAHPPeUQ=")</f>
        <v>#REF!</v>
      </c>
      <c r="BR6" t="e">
        <f>AND('Listado General'!#REF!,"AAAAAHPPeUU=")</f>
        <v>#REF!</v>
      </c>
      <c r="BS6" t="e">
        <f>AND('Listado General'!#REF!,"AAAAAHPPeUY=")</f>
        <v>#REF!</v>
      </c>
      <c r="BT6" t="e">
        <f>AND('Listado General'!#REF!,"AAAAAHPPeUc=")</f>
        <v>#REF!</v>
      </c>
      <c r="BU6" t="e">
        <f>AND('Listado General'!#REF!,"AAAAAHPPeUg=")</f>
        <v>#REF!</v>
      </c>
      <c r="BV6" t="e">
        <f>AND('Listado General'!#REF!,"AAAAAHPPeUk=")</f>
        <v>#REF!</v>
      </c>
      <c r="BW6" t="e">
        <f>AND('Listado General'!#REF!,"AAAAAHPPeUo=")</f>
        <v>#REF!</v>
      </c>
      <c r="BX6" t="e">
        <f>IF('Listado General'!#REF!,"AAAAAHPPeUs=",0)</f>
        <v>#REF!</v>
      </c>
      <c r="BY6" t="e">
        <f>AND('Listado General'!#REF!,"AAAAAHPPeUw=")</f>
        <v>#REF!</v>
      </c>
      <c r="BZ6" t="e">
        <f>AND('Listado General'!#REF!,"AAAAAHPPeU0=")</f>
        <v>#REF!</v>
      </c>
      <c r="CA6" t="e">
        <f>AND('Listado General'!#REF!,"AAAAAHPPeU4=")</f>
        <v>#REF!</v>
      </c>
      <c r="CB6" t="e">
        <f>AND('Listado General'!#REF!,"AAAAAHPPeU8=")</f>
        <v>#REF!</v>
      </c>
      <c r="CC6" t="e">
        <f>AND('Listado General'!#REF!,"AAAAAHPPeVA=")</f>
        <v>#REF!</v>
      </c>
      <c r="CD6" t="e">
        <f>AND('Listado General'!#REF!,"AAAAAHPPeVE=")</f>
        <v>#REF!</v>
      </c>
      <c r="CE6" t="e">
        <f>AND('Listado General'!#REF!,"AAAAAHPPeVI=")</f>
        <v>#REF!</v>
      </c>
      <c r="CF6" t="e">
        <f>AND('Listado General'!#REF!,"AAAAAHPPeVM=")</f>
        <v>#REF!</v>
      </c>
      <c r="CG6" t="e">
        <f>AND('Listado General'!#REF!,"AAAAAHPPeVQ=")</f>
        <v>#REF!</v>
      </c>
      <c r="CH6" t="e">
        <f>IF('Listado General'!#REF!,"AAAAAHPPeVU=",0)</f>
        <v>#REF!</v>
      </c>
      <c r="CI6" t="e">
        <f>AND('Listado General'!#REF!,"AAAAAHPPeVY=")</f>
        <v>#REF!</v>
      </c>
      <c r="CJ6" t="e">
        <f>AND('Listado General'!#REF!,"AAAAAHPPeVc=")</f>
        <v>#REF!</v>
      </c>
      <c r="CK6" t="e">
        <f>AND('Listado General'!#REF!,"AAAAAHPPeVg=")</f>
        <v>#REF!</v>
      </c>
      <c r="CL6" t="e">
        <f>AND('Listado General'!#REF!,"AAAAAHPPeVk=")</f>
        <v>#REF!</v>
      </c>
      <c r="CM6" t="e">
        <f>AND('Listado General'!#REF!,"AAAAAHPPeVo=")</f>
        <v>#REF!</v>
      </c>
      <c r="CN6" t="e">
        <f>AND('Listado General'!#REF!,"AAAAAHPPeVs=")</f>
        <v>#REF!</v>
      </c>
      <c r="CO6" t="e">
        <f>AND('Listado General'!#REF!,"AAAAAHPPeVw=")</f>
        <v>#REF!</v>
      </c>
      <c r="CP6" t="e">
        <f>AND('Listado General'!#REF!,"AAAAAHPPeV0=")</f>
        <v>#REF!</v>
      </c>
      <c r="CQ6" t="e">
        <f>AND('Listado General'!#REF!,"AAAAAHPPeV4=")</f>
        <v>#REF!</v>
      </c>
      <c r="CR6" t="e">
        <f>IF('Listado General'!#REF!,"AAAAAHPPeV8=",0)</f>
        <v>#REF!</v>
      </c>
      <c r="CS6" t="e">
        <f>AND('Listado General'!#REF!,"AAAAAHPPeWA=")</f>
        <v>#REF!</v>
      </c>
      <c r="CT6" t="e">
        <f>AND('Listado General'!#REF!,"AAAAAHPPeWE=")</f>
        <v>#REF!</v>
      </c>
      <c r="CU6" t="e">
        <f>AND('Listado General'!#REF!,"AAAAAHPPeWI=")</f>
        <v>#REF!</v>
      </c>
      <c r="CV6" t="e">
        <f>AND('Listado General'!#REF!,"AAAAAHPPeWM=")</f>
        <v>#REF!</v>
      </c>
      <c r="CW6" t="e">
        <f>AND('Listado General'!#REF!,"AAAAAHPPeWQ=")</f>
        <v>#REF!</v>
      </c>
      <c r="CX6" t="e">
        <f>AND('Listado General'!#REF!,"AAAAAHPPeWU=")</f>
        <v>#REF!</v>
      </c>
      <c r="CY6" t="e">
        <f>AND('Listado General'!#REF!,"AAAAAHPPeWY=")</f>
        <v>#REF!</v>
      </c>
      <c r="CZ6" t="e">
        <f>AND('Listado General'!#REF!,"AAAAAHPPeWc=")</f>
        <v>#REF!</v>
      </c>
      <c r="DA6" t="e">
        <f>AND('Listado General'!#REF!,"AAAAAHPPeWg=")</f>
        <v>#REF!</v>
      </c>
      <c r="DB6" t="e">
        <f>IF('Listado General'!#REF!,"AAAAAHPPeWk=",0)</f>
        <v>#REF!</v>
      </c>
      <c r="DC6" t="e">
        <f>AND('Listado General'!#REF!,"AAAAAHPPeWo=")</f>
        <v>#REF!</v>
      </c>
      <c r="DD6" t="e">
        <f>AND('Listado General'!#REF!,"AAAAAHPPeWs=")</f>
        <v>#REF!</v>
      </c>
      <c r="DE6" t="e">
        <f>AND('Listado General'!#REF!,"AAAAAHPPeWw=")</f>
        <v>#REF!</v>
      </c>
      <c r="DF6" t="e">
        <f>AND('Listado General'!#REF!,"AAAAAHPPeW0=")</f>
        <v>#REF!</v>
      </c>
      <c r="DG6" t="e">
        <f>AND('Listado General'!#REF!,"AAAAAHPPeW4=")</f>
        <v>#REF!</v>
      </c>
      <c r="DH6" t="e">
        <f>AND('Listado General'!#REF!,"AAAAAHPPeW8=")</f>
        <v>#REF!</v>
      </c>
      <c r="DI6" t="e">
        <f>AND('Listado General'!#REF!,"AAAAAHPPeXA=")</f>
        <v>#REF!</v>
      </c>
      <c r="DJ6" t="e">
        <f>AND('Listado General'!#REF!,"AAAAAHPPeXE=")</f>
        <v>#REF!</v>
      </c>
      <c r="DK6" t="e">
        <f>AND('Listado General'!#REF!,"AAAAAHPPeXI=")</f>
        <v>#REF!</v>
      </c>
      <c r="DL6" t="e">
        <f>IF('Listado General'!#REF!,"AAAAAHPPeXM=",0)</f>
        <v>#REF!</v>
      </c>
      <c r="DM6" t="e">
        <f>AND('Listado General'!#REF!,"AAAAAHPPeXQ=")</f>
        <v>#REF!</v>
      </c>
      <c r="DN6" t="e">
        <f>AND('Listado General'!#REF!,"AAAAAHPPeXU=")</f>
        <v>#REF!</v>
      </c>
      <c r="DO6" t="e">
        <f>AND('Listado General'!#REF!,"AAAAAHPPeXY=")</f>
        <v>#REF!</v>
      </c>
      <c r="DP6" t="e">
        <f>AND('Listado General'!#REF!,"AAAAAHPPeXc=")</f>
        <v>#REF!</v>
      </c>
      <c r="DQ6" t="e">
        <f>AND('Listado General'!#REF!,"AAAAAHPPeXg=")</f>
        <v>#REF!</v>
      </c>
      <c r="DR6" t="e">
        <f>AND('Listado General'!#REF!,"AAAAAHPPeXk=")</f>
        <v>#REF!</v>
      </c>
      <c r="DS6" t="e">
        <f>AND('Listado General'!#REF!,"AAAAAHPPeXo=")</f>
        <v>#REF!</v>
      </c>
      <c r="DT6" t="e">
        <f>AND('Listado General'!#REF!,"AAAAAHPPeXs=")</f>
        <v>#REF!</v>
      </c>
      <c r="DU6" t="e">
        <f>AND('Listado General'!#REF!,"AAAAAHPPeXw=")</f>
        <v>#REF!</v>
      </c>
      <c r="DV6" t="e">
        <f>IF('Listado General'!#REF!,"AAAAAHPPeX0=",0)</f>
        <v>#REF!</v>
      </c>
      <c r="DW6" t="e">
        <f>AND('Listado General'!#REF!,"AAAAAHPPeX4=")</f>
        <v>#REF!</v>
      </c>
      <c r="DX6" t="e">
        <f>AND('Listado General'!#REF!,"AAAAAHPPeX8=")</f>
        <v>#REF!</v>
      </c>
      <c r="DY6" t="e">
        <f>AND('Listado General'!#REF!,"AAAAAHPPeYA=")</f>
        <v>#REF!</v>
      </c>
      <c r="DZ6" t="e">
        <f>AND('Listado General'!#REF!,"AAAAAHPPeYE=")</f>
        <v>#REF!</v>
      </c>
      <c r="EA6" t="e">
        <f>AND('Listado General'!#REF!,"AAAAAHPPeYI=")</f>
        <v>#REF!</v>
      </c>
      <c r="EB6" t="e">
        <f>AND('Listado General'!#REF!,"AAAAAHPPeYM=")</f>
        <v>#REF!</v>
      </c>
      <c r="EC6" t="e">
        <f>AND('Listado General'!#REF!,"AAAAAHPPeYQ=")</f>
        <v>#REF!</v>
      </c>
      <c r="ED6" t="e">
        <f>AND('Listado General'!#REF!,"AAAAAHPPeYU=")</f>
        <v>#REF!</v>
      </c>
      <c r="EE6" t="e">
        <f>AND('Listado General'!#REF!,"AAAAAHPPeYY=")</f>
        <v>#REF!</v>
      </c>
      <c r="EF6" t="e">
        <f>IF('Listado General'!#REF!,"AAAAAHPPeYc=",0)</f>
        <v>#REF!</v>
      </c>
      <c r="EG6" t="e">
        <f>AND('Listado General'!#REF!,"AAAAAHPPeYg=")</f>
        <v>#REF!</v>
      </c>
      <c r="EH6" t="e">
        <f>AND('Listado General'!#REF!,"AAAAAHPPeYk=")</f>
        <v>#REF!</v>
      </c>
      <c r="EI6" t="e">
        <f>AND('Listado General'!#REF!,"AAAAAHPPeYo=")</f>
        <v>#REF!</v>
      </c>
      <c r="EJ6" t="e">
        <f>AND('Listado General'!#REF!,"AAAAAHPPeYs=")</f>
        <v>#REF!</v>
      </c>
      <c r="EK6" t="e">
        <f>AND('Listado General'!#REF!,"AAAAAHPPeYw=")</f>
        <v>#REF!</v>
      </c>
      <c r="EL6" t="e">
        <f>AND('Listado General'!#REF!,"AAAAAHPPeY0=")</f>
        <v>#REF!</v>
      </c>
      <c r="EM6" t="e">
        <f>AND('Listado General'!#REF!,"AAAAAHPPeY4=")</f>
        <v>#REF!</v>
      </c>
      <c r="EN6" t="e">
        <f>AND('Listado General'!#REF!,"AAAAAHPPeY8=")</f>
        <v>#REF!</v>
      </c>
      <c r="EO6" t="e">
        <f>AND('Listado General'!#REF!,"AAAAAHPPeZA=")</f>
        <v>#REF!</v>
      </c>
      <c r="EP6" t="e">
        <f>IF('Listado General'!#REF!,"AAAAAHPPeZE=",0)</f>
        <v>#REF!</v>
      </c>
      <c r="EQ6" t="e">
        <f>AND('Listado General'!#REF!,"AAAAAHPPeZI=")</f>
        <v>#REF!</v>
      </c>
      <c r="ER6" t="e">
        <f>AND('Listado General'!#REF!,"AAAAAHPPeZM=")</f>
        <v>#REF!</v>
      </c>
      <c r="ES6" t="e">
        <f>AND('Listado General'!#REF!,"AAAAAHPPeZQ=")</f>
        <v>#REF!</v>
      </c>
      <c r="ET6" t="e">
        <f>AND('Listado General'!#REF!,"AAAAAHPPeZU=")</f>
        <v>#REF!</v>
      </c>
      <c r="EU6" t="e">
        <f>AND('Listado General'!#REF!,"AAAAAHPPeZY=")</f>
        <v>#REF!</v>
      </c>
      <c r="EV6" t="e">
        <f>AND('Listado General'!#REF!,"AAAAAHPPeZc=")</f>
        <v>#REF!</v>
      </c>
      <c r="EW6" t="e">
        <f>AND('Listado General'!#REF!,"AAAAAHPPeZg=")</f>
        <v>#REF!</v>
      </c>
      <c r="EX6" t="e">
        <f>AND('Listado General'!#REF!,"AAAAAHPPeZk=")</f>
        <v>#REF!</v>
      </c>
      <c r="EY6" t="e">
        <f>AND('Listado General'!#REF!,"AAAAAHPPeZo=")</f>
        <v>#REF!</v>
      </c>
      <c r="EZ6" t="e">
        <f>IF('Listado General'!#REF!,"AAAAAHPPeZs=",0)</f>
        <v>#REF!</v>
      </c>
      <c r="FA6" t="e">
        <f>AND('Listado General'!#REF!,"AAAAAHPPeZw=")</f>
        <v>#REF!</v>
      </c>
      <c r="FB6" t="e">
        <f>AND('Listado General'!#REF!,"AAAAAHPPeZ0=")</f>
        <v>#REF!</v>
      </c>
      <c r="FC6" t="e">
        <f>AND('Listado General'!#REF!,"AAAAAHPPeZ4=")</f>
        <v>#REF!</v>
      </c>
      <c r="FD6" t="e">
        <f>AND('Listado General'!#REF!,"AAAAAHPPeZ8=")</f>
        <v>#REF!</v>
      </c>
      <c r="FE6" t="e">
        <f>AND('Listado General'!#REF!,"AAAAAHPPeaA=")</f>
        <v>#REF!</v>
      </c>
      <c r="FF6" t="e">
        <f>AND('Listado General'!#REF!,"AAAAAHPPeaE=")</f>
        <v>#REF!</v>
      </c>
      <c r="FG6" t="e">
        <f>AND('Listado General'!#REF!,"AAAAAHPPeaI=")</f>
        <v>#REF!</v>
      </c>
      <c r="FH6" t="e">
        <f>AND('Listado General'!#REF!,"AAAAAHPPeaM=")</f>
        <v>#REF!</v>
      </c>
      <c r="FI6" t="e">
        <f>AND('Listado General'!#REF!,"AAAAAHPPeaQ=")</f>
        <v>#REF!</v>
      </c>
      <c r="FJ6" t="e">
        <f>IF('Listado General'!#REF!,"AAAAAHPPeaU=",0)</f>
        <v>#REF!</v>
      </c>
      <c r="FK6" t="e">
        <f>AND('Listado General'!#REF!,"AAAAAHPPeaY=")</f>
        <v>#REF!</v>
      </c>
      <c r="FL6" t="e">
        <f>AND('Listado General'!#REF!,"AAAAAHPPeac=")</f>
        <v>#REF!</v>
      </c>
      <c r="FM6" t="e">
        <f>AND('Listado General'!#REF!,"AAAAAHPPeag=")</f>
        <v>#REF!</v>
      </c>
      <c r="FN6" t="e">
        <f>AND('Listado General'!#REF!,"AAAAAHPPeak=")</f>
        <v>#REF!</v>
      </c>
      <c r="FO6" t="e">
        <f>AND('Listado General'!#REF!,"AAAAAHPPeao=")</f>
        <v>#REF!</v>
      </c>
      <c r="FP6" t="e">
        <f>AND('Listado General'!#REF!,"AAAAAHPPeas=")</f>
        <v>#REF!</v>
      </c>
      <c r="FQ6" t="e">
        <f>AND('Listado General'!#REF!,"AAAAAHPPeaw=")</f>
        <v>#REF!</v>
      </c>
      <c r="FR6" t="e">
        <f>AND('Listado General'!#REF!,"AAAAAHPPea0=")</f>
        <v>#REF!</v>
      </c>
      <c r="FS6" t="e">
        <f>AND('Listado General'!#REF!,"AAAAAHPPea4=")</f>
        <v>#REF!</v>
      </c>
      <c r="FT6" t="e">
        <f>IF('Listado General'!#REF!,"AAAAAHPPea8=",0)</f>
        <v>#REF!</v>
      </c>
      <c r="FU6" t="e">
        <f>AND('Listado General'!#REF!,"AAAAAHPPebA=")</f>
        <v>#REF!</v>
      </c>
      <c r="FV6" t="e">
        <f>AND('Listado General'!#REF!,"AAAAAHPPebE=")</f>
        <v>#REF!</v>
      </c>
      <c r="FW6" t="e">
        <f>AND('Listado General'!#REF!,"AAAAAHPPebI=")</f>
        <v>#REF!</v>
      </c>
      <c r="FX6" t="e">
        <f>AND('Listado General'!#REF!,"AAAAAHPPebM=")</f>
        <v>#REF!</v>
      </c>
      <c r="FY6" t="e">
        <f>AND('Listado General'!#REF!,"AAAAAHPPebQ=")</f>
        <v>#REF!</v>
      </c>
      <c r="FZ6" t="e">
        <f>AND('Listado General'!#REF!,"AAAAAHPPebU=")</f>
        <v>#REF!</v>
      </c>
      <c r="GA6" t="e">
        <f>AND('Listado General'!#REF!,"AAAAAHPPebY=")</f>
        <v>#REF!</v>
      </c>
      <c r="GB6" t="e">
        <f>AND('Listado General'!#REF!,"AAAAAHPPebc=")</f>
        <v>#REF!</v>
      </c>
      <c r="GC6" t="e">
        <f>AND('Listado General'!#REF!,"AAAAAHPPebg=")</f>
        <v>#REF!</v>
      </c>
      <c r="GD6" t="e">
        <f>IF('Listado General'!#REF!,"AAAAAHPPebk=",0)</f>
        <v>#REF!</v>
      </c>
      <c r="GE6" t="e">
        <f>AND('Listado General'!#REF!,"AAAAAHPPebo=")</f>
        <v>#REF!</v>
      </c>
      <c r="GF6" t="e">
        <f>AND('Listado General'!#REF!,"AAAAAHPPebs=")</f>
        <v>#REF!</v>
      </c>
      <c r="GG6" t="e">
        <f>AND('Listado General'!#REF!,"AAAAAHPPebw=")</f>
        <v>#REF!</v>
      </c>
      <c r="GH6" t="e">
        <f>AND('Listado General'!#REF!,"AAAAAHPPeb0=")</f>
        <v>#REF!</v>
      </c>
      <c r="GI6" t="e">
        <f>AND('Listado General'!#REF!,"AAAAAHPPeb4=")</f>
        <v>#REF!</v>
      </c>
      <c r="GJ6" t="e">
        <f>AND('Listado General'!#REF!,"AAAAAHPPeb8=")</f>
        <v>#REF!</v>
      </c>
      <c r="GK6" t="e">
        <f>AND('Listado General'!#REF!,"AAAAAHPPecA=")</f>
        <v>#REF!</v>
      </c>
      <c r="GL6" t="e">
        <f>AND('Listado General'!#REF!,"AAAAAHPPecE=")</f>
        <v>#REF!</v>
      </c>
      <c r="GM6" t="e">
        <f>AND('Listado General'!#REF!,"AAAAAHPPecI=")</f>
        <v>#REF!</v>
      </c>
      <c r="GN6" t="e">
        <f>IF('Listado General'!#REF!,"AAAAAHPPecM=",0)</f>
        <v>#REF!</v>
      </c>
      <c r="GO6" t="e">
        <f>AND('Listado General'!#REF!,"AAAAAHPPecQ=")</f>
        <v>#REF!</v>
      </c>
      <c r="GP6" t="e">
        <f>AND('Listado General'!#REF!,"AAAAAHPPecU=")</f>
        <v>#REF!</v>
      </c>
      <c r="GQ6" t="e">
        <f>AND('Listado General'!#REF!,"AAAAAHPPecY=")</f>
        <v>#REF!</v>
      </c>
      <c r="GR6" t="e">
        <f>AND('Listado General'!#REF!,"AAAAAHPPecc=")</f>
        <v>#REF!</v>
      </c>
      <c r="GS6" t="e">
        <f>AND('Listado General'!#REF!,"AAAAAHPPecg=")</f>
        <v>#REF!</v>
      </c>
      <c r="GT6" t="e">
        <f>AND('Listado General'!#REF!,"AAAAAHPPeck=")</f>
        <v>#REF!</v>
      </c>
      <c r="GU6" t="e">
        <f>AND('Listado General'!#REF!,"AAAAAHPPeco=")</f>
        <v>#REF!</v>
      </c>
      <c r="GV6" t="e">
        <f>AND('Listado General'!#REF!,"AAAAAHPPecs=")</f>
        <v>#REF!</v>
      </c>
      <c r="GW6" t="e">
        <f>AND('Listado General'!#REF!,"AAAAAHPPecw=")</f>
        <v>#REF!</v>
      </c>
      <c r="GX6" t="e">
        <f>IF('Listado General'!#REF!,"AAAAAHPPec0=",0)</f>
        <v>#REF!</v>
      </c>
      <c r="GY6" t="e">
        <f>AND('Listado General'!#REF!,"AAAAAHPPec4=")</f>
        <v>#REF!</v>
      </c>
      <c r="GZ6" t="e">
        <f>AND('Listado General'!#REF!,"AAAAAHPPec8=")</f>
        <v>#REF!</v>
      </c>
      <c r="HA6" t="e">
        <f>AND('Listado General'!#REF!,"AAAAAHPPedA=")</f>
        <v>#REF!</v>
      </c>
      <c r="HB6" t="e">
        <f>AND('Listado General'!#REF!,"AAAAAHPPedE=")</f>
        <v>#REF!</v>
      </c>
      <c r="HC6" t="e">
        <f>AND('Listado General'!#REF!,"AAAAAHPPedI=")</f>
        <v>#REF!</v>
      </c>
      <c r="HD6" t="e">
        <f>AND('Listado General'!#REF!,"AAAAAHPPedM=")</f>
        <v>#REF!</v>
      </c>
      <c r="HE6" t="e">
        <f>AND('Listado General'!#REF!,"AAAAAHPPedQ=")</f>
        <v>#REF!</v>
      </c>
      <c r="HF6" t="e">
        <f>AND('Listado General'!#REF!,"AAAAAHPPedU=")</f>
        <v>#REF!</v>
      </c>
      <c r="HG6" t="e">
        <f>AND('Listado General'!#REF!,"AAAAAHPPedY=")</f>
        <v>#REF!</v>
      </c>
      <c r="HH6" t="e">
        <f>IF('Listado General'!#REF!,"AAAAAHPPedc=",0)</f>
        <v>#REF!</v>
      </c>
      <c r="HI6" t="e">
        <f>AND('Listado General'!#REF!,"AAAAAHPPedg=")</f>
        <v>#REF!</v>
      </c>
      <c r="HJ6" t="e">
        <f>AND('Listado General'!#REF!,"AAAAAHPPedk=")</f>
        <v>#REF!</v>
      </c>
      <c r="HK6" t="e">
        <f>AND('Listado General'!#REF!,"AAAAAHPPedo=")</f>
        <v>#REF!</v>
      </c>
      <c r="HL6" t="e">
        <f>AND('Listado General'!#REF!,"AAAAAHPPeds=")</f>
        <v>#REF!</v>
      </c>
      <c r="HM6" t="e">
        <f>AND('Listado General'!#REF!,"AAAAAHPPedw=")</f>
        <v>#REF!</v>
      </c>
      <c r="HN6" t="e">
        <f>AND('Listado General'!#REF!,"AAAAAHPPed0=")</f>
        <v>#REF!</v>
      </c>
      <c r="HO6" t="e">
        <f>AND('Listado General'!#REF!,"AAAAAHPPed4=")</f>
        <v>#REF!</v>
      </c>
      <c r="HP6" t="e">
        <f>AND('Listado General'!#REF!,"AAAAAHPPed8=")</f>
        <v>#REF!</v>
      </c>
      <c r="HQ6" t="e">
        <f>AND('Listado General'!#REF!,"AAAAAHPPeeA=")</f>
        <v>#REF!</v>
      </c>
      <c r="HR6" t="e">
        <f>IF('Listado General'!#REF!,"AAAAAHPPeeE=",0)</f>
        <v>#REF!</v>
      </c>
      <c r="HS6" t="e">
        <f>AND('Listado General'!#REF!,"AAAAAHPPeeI=")</f>
        <v>#REF!</v>
      </c>
      <c r="HT6" t="e">
        <f>AND('Listado General'!#REF!,"AAAAAHPPeeM=")</f>
        <v>#REF!</v>
      </c>
      <c r="HU6" t="e">
        <f>AND('Listado General'!#REF!,"AAAAAHPPeeQ=")</f>
        <v>#REF!</v>
      </c>
      <c r="HV6" t="e">
        <f>AND('Listado General'!#REF!,"AAAAAHPPeeU=")</f>
        <v>#REF!</v>
      </c>
      <c r="HW6" t="e">
        <f>AND('Listado General'!#REF!,"AAAAAHPPeeY=")</f>
        <v>#REF!</v>
      </c>
      <c r="HX6" t="e">
        <f>AND('Listado General'!#REF!,"AAAAAHPPeec=")</f>
        <v>#REF!</v>
      </c>
      <c r="HY6" t="e">
        <f>AND('Listado General'!#REF!,"AAAAAHPPeeg=")</f>
        <v>#REF!</v>
      </c>
      <c r="HZ6" t="e">
        <f>AND('Listado General'!#REF!,"AAAAAHPPeek=")</f>
        <v>#REF!</v>
      </c>
      <c r="IA6" t="e">
        <f>AND('Listado General'!#REF!,"AAAAAHPPeeo=")</f>
        <v>#REF!</v>
      </c>
      <c r="IB6" t="e">
        <f>IF('Listado General'!#REF!,"AAAAAHPPees=",0)</f>
        <v>#REF!</v>
      </c>
      <c r="IC6" t="e">
        <f>AND('Listado General'!#REF!,"AAAAAHPPeew=")</f>
        <v>#REF!</v>
      </c>
      <c r="ID6" t="e">
        <f>AND('Listado General'!#REF!,"AAAAAHPPee0=")</f>
        <v>#REF!</v>
      </c>
      <c r="IE6" t="e">
        <f>AND('Listado General'!#REF!,"AAAAAHPPee4=")</f>
        <v>#REF!</v>
      </c>
      <c r="IF6" t="e">
        <f>AND('Listado General'!#REF!,"AAAAAHPPee8=")</f>
        <v>#REF!</v>
      </c>
      <c r="IG6" t="e">
        <f>AND('Listado General'!#REF!,"AAAAAHPPefA=")</f>
        <v>#REF!</v>
      </c>
      <c r="IH6" t="e">
        <f>AND('Listado General'!#REF!,"AAAAAHPPefE=")</f>
        <v>#REF!</v>
      </c>
      <c r="II6" t="e">
        <f>AND('Listado General'!#REF!,"AAAAAHPPefI=")</f>
        <v>#REF!</v>
      </c>
      <c r="IJ6" t="e">
        <f>AND('Listado General'!#REF!,"AAAAAHPPefM=")</f>
        <v>#REF!</v>
      </c>
      <c r="IK6" t="e">
        <f>AND('Listado General'!#REF!,"AAAAAHPPefQ=")</f>
        <v>#REF!</v>
      </c>
      <c r="IL6" t="e">
        <f>IF('Listado General'!#REF!,"AAAAAHPPefU=",0)</f>
        <v>#REF!</v>
      </c>
      <c r="IM6" t="e">
        <f>AND('Listado General'!#REF!,"AAAAAHPPefY=")</f>
        <v>#REF!</v>
      </c>
      <c r="IN6" t="e">
        <f>AND('Listado General'!#REF!,"AAAAAHPPefc=")</f>
        <v>#REF!</v>
      </c>
      <c r="IO6" t="e">
        <f>AND('Listado General'!#REF!,"AAAAAHPPefg=")</f>
        <v>#REF!</v>
      </c>
      <c r="IP6" t="e">
        <f>AND('Listado General'!#REF!,"AAAAAHPPefk=")</f>
        <v>#REF!</v>
      </c>
      <c r="IQ6" t="e">
        <f>AND('Listado General'!#REF!,"AAAAAHPPefo=")</f>
        <v>#REF!</v>
      </c>
      <c r="IR6" t="e">
        <f>AND('Listado General'!#REF!,"AAAAAHPPefs=")</f>
        <v>#REF!</v>
      </c>
      <c r="IS6" t="e">
        <f>AND('Listado General'!#REF!,"AAAAAHPPefw=")</f>
        <v>#REF!</v>
      </c>
      <c r="IT6" t="e">
        <f>AND('Listado General'!#REF!,"AAAAAHPPef0=")</f>
        <v>#REF!</v>
      </c>
      <c r="IU6" t="e">
        <f>AND('Listado General'!#REF!,"AAAAAHPPef4=")</f>
        <v>#REF!</v>
      </c>
      <c r="IV6" t="e">
        <f>IF('Listado General'!#REF!,"AAAAAHPPef8=",0)</f>
        <v>#REF!</v>
      </c>
    </row>
    <row r="7" spans="1:256" ht="12.75">
      <c r="A7" t="e">
        <f>AND('Listado General'!#REF!,"AAAAAG3/DAA=")</f>
        <v>#REF!</v>
      </c>
      <c r="B7" t="e">
        <f>AND('Listado General'!#REF!,"AAAAAG3/DAE=")</f>
        <v>#REF!</v>
      </c>
      <c r="C7" t="e">
        <f>AND('Listado General'!#REF!,"AAAAAG3/DAI=")</f>
        <v>#REF!</v>
      </c>
      <c r="D7" t="e">
        <f>AND('Listado General'!#REF!,"AAAAAG3/DAM=")</f>
        <v>#REF!</v>
      </c>
      <c r="E7" t="e">
        <f>AND('Listado General'!#REF!,"AAAAAG3/DAQ=")</f>
        <v>#REF!</v>
      </c>
      <c r="F7" t="e">
        <f>AND('Listado General'!#REF!,"AAAAAG3/DAU=")</f>
        <v>#REF!</v>
      </c>
      <c r="G7" t="e">
        <f>AND('Listado General'!#REF!,"AAAAAG3/DAY=")</f>
        <v>#REF!</v>
      </c>
      <c r="H7" t="e">
        <f>AND('Listado General'!#REF!,"AAAAAG3/DAc=")</f>
        <v>#REF!</v>
      </c>
      <c r="I7" t="e">
        <f>AND('Listado General'!#REF!,"AAAAAG3/DAg=")</f>
        <v>#REF!</v>
      </c>
      <c r="J7" t="e">
        <f>IF('Listado General'!#REF!,"AAAAAG3/DAk=",0)</f>
        <v>#REF!</v>
      </c>
      <c r="K7" t="e">
        <f>AND('Listado General'!#REF!,"AAAAAG3/DAo=")</f>
        <v>#REF!</v>
      </c>
      <c r="L7" t="e">
        <f>AND('Listado General'!#REF!,"AAAAAG3/DAs=")</f>
        <v>#REF!</v>
      </c>
      <c r="M7" t="e">
        <f>AND('Listado General'!#REF!,"AAAAAG3/DAw=")</f>
        <v>#REF!</v>
      </c>
      <c r="N7" t="e">
        <f>AND('Listado General'!#REF!,"AAAAAG3/DA0=")</f>
        <v>#REF!</v>
      </c>
      <c r="O7" t="e">
        <f>AND('Listado General'!#REF!,"AAAAAG3/DA4=")</f>
        <v>#REF!</v>
      </c>
      <c r="P7" t="e">
        <f>AND('Listado General'!#REF!,"AAAAAG3/DA8=")</f>
        <v>#REF!</v>
      </c>
      <c r="Q7" t="e">
        <f>AND('Listado General'!#REF!,"AAAAAG3/DBA=")</f>
        <v>#REF!</v>
      </c>
      <c r="R7" t="e">
        <f>AND('Listado General'!#REF!,"AAAAAG3/DBE=")</f>
        <v>#REF!</v>
      </c>
      <c r="S7" t="e">
        <f>AND('Listado General'!#REF!,"AAAAAG3/DBI=")</f>
        <v>#REF!</v>
      </c>
      <c r="T7" t="e">
        <f>IF('Listado General'!#REF!,"AAAAAG3/DBM=",0)</f>
        <v>#REF!</v>
      </c>
      <c r="U7" t="e">
        <f>AND('Listado General'!#REF!,"AAAAAG3/DBQ=")</f>
        <v>#REF!</v>
      </c>
      <c r="V7" t="e">
        <f>AND('Listado General'!#REF!,"AAAAAG3/DBU=")</f>
        <v>#REF!</v>
      </c>
      <c r="W7" t="e">
        <f>AND('Listado General'!#REF!,"AAAAAG3/DBY=")</f>
        <v>#REF!</v>
      </c>
      <c r="X7" t="e">
        <f>AND('Listado General'!#REF!,"AAAAAG3/DBc=")</f>
        <v>#REF!</v>
      </c>
      <c r="Y7" t="e">
        <f>AND('Listado General'!#REF!,"AAAAAG3/DBg=")</f>
        <v>#REF!</v>
      </c>
      <c r="Z7" t="e">
        <f>AND('Listado General'!#REF!,"AAAAAG3/DBk=")</f>
        <v>#REF!</v>
      </c>
      <c r="AA7" t="e">
        <f>AND('Listado General'!#REF!,"AAAAAG3/DBo=")</f>
        <v>#REF!</v>
      </c>
      <c r="AB7" t="e">
        <f>AND('Listado General'!#REF!,"AAAAAG3/DBs=")</f>
        <v>#REF!</v>
      </c>
      <c r="AC7" t="e">
        <f>AND('Listado General'!#REF!,"AAAAAG3/DBw=")</f>
        <v>#REF!</v>
      </c>
      <c r="AD7" t="e">
        <f>IF('Listado General'!#REF!,"AAAAAG3/DB0=",0)</f>
        <v>#REF!</v>
      </c>
      <c r="AE7" t="e">
        <f>AND('Listado General'!#REF!,"AAAAAG3/DB4=")</f>
        <v>#REF!</v>
      </c>
      <c r="AF7" t="e">
        <f>AND('Listado General'!#REF!,"AAAAAG3/DB8=")</f>
        <v>#REF!</v>
      </c>
      <c r="AG7" t="e">
        <f>AND('Listado General'!#REF!,"AAAAAG3/DCA=")</f>
        <v>#REF!</v>
      </c>
      <c r="AH7" t="e">
        <f>AND('Listado General'!#REF!,"AAAAAG3/DCE=")</f>
        <v>#REF!</v>
      </c>
      <c r="AI7" t="e">
        <f>AND('Listado General'!#REF!,"AAAAAG3/DCI=")</f>
        <v>#REF!</v>
      </c>
      <c r="AJ7" t="e">
        <f>AND('Listado General'!#REF!,"AAAAAG3/DCM=")</f>
        <v>#REF!</v>
      </c>
      <c r="AK7" t="e">
        <f>AND('Listado General'!#REF!,"AAAAAG3/DCQ=")</f>
        <v>#REF!</v>
      </c>
      <c r="AL7" t="e">
        <f>AND('Listado General'!#REF!,"AAAAAG3/DCU=")</f>
        <v>#REF!</v>
      </c>
      <c r="AM7" t="e">
        <f>AND('Listado General'!#REF!,"AAAAAG3/DCY=")</f>
        <v>#REF!</v>
      </c>
      <c r="AN7" t="e">
        <f>IF('Listado General'!#REF!,"AAAAAG3/DCc=",0)</f>
        <v>#REF!</v>
      </c>
      <c r="AO7" t="e">
        <f>AND('Listado General'!#REF!,"AAAAAG3/DCg=")</f>
        <v>#REF!</v>
      </c>
      <c r="AP7" t="e">
        <f>AND('Listado General'!#REF!,"AAAAAG3/DCk=")</f>
        <v>#REF!</v>
      </c>
      <c r="AQ7" t="e">
        <f>AND('Listado General'!#REF!,"AAAAAG3/DCo=")</f>
        <v>#REF!</v>
      </c>
      <c r="AR7" t="e">
        <f>AND('Listado General'!#REF!,"AAAAAG3/DCs=")</f>
        <v>#REF!</v>
      </c>
      <c r="AS7" t="e">
        <f>AND('Listado General'!#REF!,"AAAAAG3/DCw=")</f>
        <v>#REF!</v>
      </c>
      <c r="AT7" t="e">
        <f>AND('Listado General'!#REF!,"AAAAAG3/DC0=")</f>
        <v>#REF!</v>
      </c>
      <c r="AU7" t="e">
        <f>AND('Listado General'!#REF!,"AAAAAG3/DC4=")</f>
        <v>#REF!</v>
      </c>
      <c r="AV7" t="e">
        <f>AND('Listado General'!#REF!,"AAAAAG3/DC8=")</f>
        <v>#REF!</v>
      </c>
      <c r="AW7" t="e">
        <f>AND('Listado General'!#REF!,"AAAAAG3/DDA=")</f>
        <v>#REF!</v>
      </c>
      <c r="AX7" t="e">
        <f>IF('Listado General'!#REF!,"AAAAAG3/DDE=",0)</f>
        <v>#REF!</v>
      </c>
      <c r="AY7" t="e">
        <f>AND('Listado General'!#REF!,"AAAAAG3/DDI=")</f>
        <v>#REF!</v>
      </c>
      <c r="AZ7" t="e">
        <f>AND('Listado General'!#REF!,"AAAAAG3/DDM=")</f>
        <v>#REF!</v>
      </c>
      <c r="BA7" t="e">
        <f>AND('Listado General'!#REF!,"AAAAAG3/DDQ=")</f>
        <v>#REF!</v>
      </c>
      <c r="BB7" t="e">
        <f>AND('Listado General'!#REF!,"AAAAAG3/DDU=")</f>
        <v>#REF!</v>
      </c>
      <c r="BC7" t="e">
        <f>AND('Listado General'!#REF!,"AAAAAG3/DDY=")</f>
        <v>#REF!</v>
      </c>
      <c r="BD7" t="e">
        <f>AND('Listado General'!#REF!,"AAAAAG3/DDc=")</f>
        <v>#REF!</v>
      </c>
      <c r="BE7" t="e">
        <f>AND('Listado General'!#REF!,"AAAAAG3/DDg=")</f>
        <v>#REF!</v>
      </c>
      <c r="BF7" t="e">
        <f>AND('Listado General'!#REF!,"AAAAAG3/DDk=")</f>
        <v>#REF!</v>
      </c>
      <c r="BG7" t="e">
        <f>AND('Listado General'!#REF!,"AAAAAG3/DDo=")</f>
        <v>#REF!</v>
      </c>
      <c r="BH7" t="e">
        <f>IF('Listado General'!#REF!,"AAAAAG3/DDs=",0)</f>
        <v>#REF!</v>
      </c>
      <c r="BI7" t="e">
        <f>AND('Listado General'!#REF!,"AAAAAG3/DDw=")</f>
        <v>#REF!</v>
      </c>
      <c r="BJ7" t="e">
        <f>AND('Listado General'!#REF!,"AAAAAG3/DD0=")</f>
        <v>#REF!</v>
      </c>
      <c r="BK7" t="e">
        <f>AND('Listado General'!#REF!,"AAAAAG3/DD4=")</f>
        <v>#REF!</v>
      </c>
      <c r="BL7" t="e">
        <f>AND('Listado General'!#REF!,"AAAAAG3/DD8=")</f>
        <v>#REF!</v>
      </c>
      <c r="BM7" t="e">
        <f>AND('Listado General'!#REF!,"AAAAAG3/DEA=")</f>
        <v>#REF!</v>
      </c>
      <c r="BN7" t="e">
        <f>AND('Listado General'!#REF!,"AAAAAG3/DEE=")</f>
        <v>#REF!</v>
      </c>
      <c r="BO7" t="e">
        <f>AND('Listado General'!#REF!,"AAAAAG3/DEI=")</f>
        <v>#REF!</v>
      </c>
      <c r="BP7" t="e">
        <f>AND('Listado General'!#REF!,"AAAAAG3/DEM=")</f>
        <v>#REF!</v>
      </c>
      <c r="BQ7" t="e">
        <f>AND('Listado General'!#REF!,"AAAAAG3/DEQ=")</f>
        <v>#REF!</v>
      </c>
      <c r="BR7" t="e">
        <f>IF('Listado General'!#REF!,"AAAAAG3/DEU=",0)</f>
        <v>#REF!</v>
      </c>
      <c r="BS7" t="e">
        <f>AND('Listado General'!#REF!,"AAAAAG3/DEY=")</f>
        <v>#REF!</v>
      </c>
      <c r="BT7" t="e">
        <f>AND('Listado General'!#REF!,"AAAAAG3/DEc=")</f>
        <v>#REF!</v>
      </c>
      <c r="BU7" t="e">
        <f>AND('Listado General'!#REF!,"AAAAAG3/DEg=")</f>
        <v>#REF!</v>
      </c>
      <c r="BV7" t="e">
        <f>AND('Listado General'!#REF!,"AAAAAG3/DEk=")</f>
        <v>#REF!</v>
      </c>
      <c r="BW7" t="e">
        <f>AND('Listado General'!#REF!,"AAAAAG3/DEo=")</f>
        <v>#REF!</v>
      </c>
      <c r="BX7" t="e">
        <f>AND('Listado General'!#REF!,"AAAAAG3/DEs=")</f>
        <v>#REF!</v>
      </c>
      <c r="BY7" t="e">
        <f>AND('Listado General'!#REF!,"AAAAAG3/DEw=")</f>
        <v>#REF!</v>
      </c>
      <c r="BZ7" t="e">
        <f>AND('Listado General'!#REF!,"AAAAAG3/DE0=")</f>
        <v>#REF!</v>
      </c>
      <c r="CA7" t="e">
        <f>AND('Listado General'!#REF!,"AAAAAG3/DE4=")</f>
        <v>#REF!</v>
      </c>
      <c r="CB7" t="e">
        <f>IF('Listado General'!#REF!,"AAAAAG3/DE8=",0)</f>
        <v>#REF!</v>
      </c>
      <c r="CC7" t="e">
        <f>AND('Listado General'!#REF!,"AAAAAG3/DFA=")</f>
        <v>#REF!</v>
      </c>
      <c r="CD7" t="e">
        <f>AND('Listado General'!#REF!,"AAAAAG3/DFE=")</f>
        <v>#REF!</v>
      </c>
      <c r="CE7" t="e">
        <f>AND('Listado General'!#REF!,"AAAAAG3/DFI=")</f>
        <v>#REF!</v>
      </c>
      <c r="CF7" t="e">
        <f>AND('Listado General'!#REF!,"AAAAAG3/DFM=")</f>
        <v>#REF!</v>
      </c>
      <c r="CG7" t="e">
        <f>AND('Listado General'!#REF!,"AAAAAG3/DFQ=")</f>
        <v>#REF!</v>
      </c>
      <c r="CH7" t="e">
        <f>AND('Listado General'!#REF!,"AAAAAG3/DFU=")</f>
        <v>#REF!</v>
      </c>
      <c r="CI7" t="e">
        <f>AND('Listado General'!#REF!,"AAAAAG3/DFY=")</f>
        <v>#REF!</v>
      </c>
      <c r="CJ7" t="e">
        <f>AND('Listado General'!#REF!,"AAAAAG3/DFc=")</f>
        <v>#REF!</v>
      </c>
      <c r="CK7" t="e">
        <f>AND('Listado General'!#REF!,"AAAAAG3/DFg=")</f>
        <v>#REF!</v>
      </c>
      <c r="CL7" t="e">
        <f>IF('Listado General'!#REF!,"AAAAAG3/DFk=",0)</f>
        <v>#REF!</v>
      </c>
      <c r="CM7" t="e">
        <f>AND('Listado General'!#REF!,"AAAAAG3/DFo=")</f>
        <v>#REF!</v>
      </c>
      <c r="CN7" t="e">
        <f>AND('Listado General'!#REF!,"AAAAAG3/DFs=")</f>
        <v>#REF!</v>
      </c>
      <c r="CO7" t="e">
        <f>AND('Listado General'!#REF!,"AAAAAG3/DFw=")</f>
        <v>#REF!</v>
      </c>
      <c r="CP7" t="e">
        <f>AND('Listado General'!#REF!,"AAAAAG3/DF0=")</f>
        <v>#REF!</v>
      </c>
      <c r="CQ7" t="e">
        <f>AND('Listado General'!#REF!,"AAAAAG3/DF4=")</f>
        <v>#REF!</v>
      </c>
      <c r="CR7" t="e">
        <f>AND('Listado General'!#REF!,"AAAAAG3/DF8=")</f>
        <v>#REF!</v>
      </c>
      <c r="CS7" t="e">
        <f>AND('Listado General'!#REF!,"AAAAAG3/DGA=")</f>
        <v>#REF!</v>
      </c>
      <c r="CT7" t="e">
        <f>AND('Listado General'!#REF!,"AAAAAG3/DGE=")</f>
        <v>#REF!</v>
      </c>
      <c r="CU7" t="e">
        <f>AND('Listado General'!#REF!,"AAAAAG3/DGI=")</f>
        <v>#REF!</v>
      </c>
      <c r="CV7" t="e">
        <f>IF('Listado General'!#REF!,"AAAAAG3/DGM=",0)</f>
        <v>#REF!</v>
      </c>
      <c r="CW7" t="e">
        <f>AND('Listado General'!#REF!,"AAAAAG3/DGQ=")</f>
        <v>#REF!</v>
      </c>
      <c r="CX7" t="e">
        <f>AND('Listado General'!#REF!,"AAAAAG3/DGU=")</f>
        <v>#REF!</v>
      </c>
      <c r="CY7" t="e">
        <f>AND('Listado General'!#REF!,"AAAAAG3/DGY=")</f>
        <v>#REF!</v>
      </c>
      <c r="CZ7" t="e">
        <f>AND('Listado General'!#REF!,"AAAAAG3/DGc=")</f>
        <v>#REF!</v>
      </c>
      <c r="DA7" t="e">
        <f>AND('Listado General'!#REF!,"AAAAAG3/DGg=")</f>
        <v>#REF!</v>
      </c>
      <c r="DB7" t="e">
        <f>AND('Listado General'!#REF!,"AAAAAG3/DGk=")</f>
        <v>#REF!</v>
      </c>
      <c r="DC7" t="e">
        <f>AND('Listado General'!#REF!,"AAAAAG3/DGo=")</f>
        <v>#REF!</v>
      </c>
      <c r="DD7" t="e">
        <f>AND('Listado General'!#REF!,"AAAAAG3/DGs=")</f>
        <v>#REF!</v>
      </c>
      <c r="DE7" t="e">
        <f>AND('Listado General'!#REF!,"AAAAAG3/DGw=")</f>
        <v>#REF!</v>
      </c>
      <c r="DF7" t="e">
        <f>IF('Listado General'!#REF!,"AAAAAG3/DG0=",0)</f>
        <v>#REF!</v>
      </c>
      <c r="DG7" t="e">
        <f>AND('Listado General'!#REF!,"AAAAAG3/DG4=")</f>
        <v>#REF!</v>
      </c>
      <c r="DH7" t="e">
        <f>AND('Listado General'!#REF!,"AAAAAG3/DG8=")</f>
        <v>#REF!</v>
      </c>
      <c r="DI7" t="e">
        <f>AND('Listado General'!#REF!,"AAAAAG3/DHA=")</f>
        <v>#REF!</v>
      </c>
      <c r="DJ7" t="e">
        <f>AND('Listado General'!#REF!,"AAAAAG3/DHE=")</f>
        <v>#REF!</v>
      </c>
      <c r="DK7" t="e">
        <f>AND('Listado General'!#REF!,"AAAAAG3/DHI=")</f>
        <v>#REF!</v>
      </c>
      <c r="DL7" t="e">
        <f>AND('Listado General'!#REF!,"AAAAAG3/DHM=")</f>
        <v>#REF!</v>
      </c>
      <c r="DM7" t="e">
        <f>AND('Listado General'!#REF!,"AAAAAG3/DHQ=")</f>
        <v>#REF!</v>
      </c>
      <c r="DN7" t="e">
        <f>AND('Listado General'!#REF!,"AAAAAG3/DHU=")</f>
        <v>#REF!</v>
      </c>
      <c r="DO7" t="e">
        <f>AND('Listado General'!#REF!,"AAAAAG3/DHY=")</f>
        <v>#REF!</v>
      </c>
      <c r="DP7" t="e">
        <f>IF('Listado General'!#REF!,"AAAAAG3/DHc=",0)</f>
        <v>#REF!</v>
      </c>
      <c r="DQ7" t="e">
        <f>AND('Listado General'!#REF!,"AAAAAG3/DHg=")</f>
        <v>#REF!</v>
      </c>
      <c r="DR7" t="e">
        <f>AND('Listado General'!#REF!,"AAAAAG3/DHk=")</f>
        <v>#REF!</v>
      </c>
      <c r="DS7" t="e">
        <f>AND('Listado General'!#REF!,"AAAAAG3/DHo=")</f>
        <v>#REF!</v>
      </c>
      <c r="DT7" t="e">
        <f>AND('Listado General'!#REF!,"AAAAAG3/DHs=")</f>
        <v>#REF!</v>
      </c>
      <c r="DU7" t="e">
        <f>AND('Listado General'!#REF!,"AAAAAG3/DHw=")</f>
        <v>#REF!</v>
      </c>
      <c r="DV7" t="e">
        <f>AND('Listado General'!#REF!,"AAAAAG3/DH0=")</f>
        <v>#REF!</v>
      </c>
      <c r="DW7" t="e">
        <f>AND('Listado General'!#REF!,"AAAAAG3/DH4=")</f>
        <v>#REF!</v>
      </c>
      <c r="DX7" t="e">
        <f>AND('Listado General'!#REF!,"AAAAAG3/DH8=")</f>
        <v>#REF!</v>
      </c>
      <c r="DY7" t="e">
        <f>AND('Listado General'!#REF!,"AAAAAG3/DIA=")</f>
        <v>#REF!</v>
      </c>
      <c r="DZ7" t="e">
        <f>IF('Listado General'!#REF!,"AAAAAG3/DIE=",0)</f>
        <v>#REF!</v>
      </c>
      <c r="EA7" t="e">
        <f>AND('Listado General'!#REF!,"AAAAAG3/DII=")</f>
        <v>#REF!</v>
      </c>
      <c r="EB7" t="e">
        <f>AND('Listado General'!#REF!,"AAAAAG3/DIM=")</f>
        <v>#REF!</v>
      </c>
      <c r="EC7" t="e">
        <f>AND('Listado General'!#REF!,"AAAAAG3/DIQ=")</f>
        <v>#REF!</v>
      </c>
      <c r="ED7" t="e">
        <f>AND('Listado General'!#REF!,"AAAAAG3/DIU=")</f>
        <v>#REF!</v>
      </c>
      <c r="EE7" t="e">
        <f>AND('Listado General'!#REF!,"AAAAAG3/DIY=")</f>
        <v>#REF!</v>
      </c>
      <c r="EF7" t="e">
        <f>AND('Listado General'!#REF!,"AAAAAG3/DIc=")</f>
        <v>#REF!</v>
      </c>
      <c r="EG7" t="e">
        <f>AND('Listado General'!#REF!,"AAAAAG3/DIg=")</f>
        <v>#REF!</v>
      </c>
      <c r="EH7" t="e">
        <f>AND('Listado General'!#REF!,"AAAAAG3/DIk=")</f>
        <v>#REF!</v>
      </c>
      <c r="EI7" t="e">
        <f>AND('Listado General'!#REF!,"AAAAAG3/DIo=")</f>
        <v>#REF!</v>
      </c>
      <c r="EJ7" t="e">
        <f>IF('Listado General'!#REF!,"AAAAAG3/DIs=",0)</f>
        <v>#REF!</v>
      </c>
      <c r="EK7" t="e">
        <f>AND('Listado General'!#REF!,"AAAAAG3/DIw=")</f>
        <v>#REF!</v>
      </c>
      <c r="EL7" t="e">
        <f>AND('Listado General'!#REF!,"AAAAAG3/DI0=")</f>
        <v>#REF!</v>
      </c>
      <c r="EM7" t="e">
        <f>AND('Listado General'!#REF!,"AAAAAG3/DI4=")</f>
        <v>#REF!</v>
      </c>
      <c r="EN7" t="e">
        <f>AND('Listado General'!#REF!,"AAAAAG3/DI8=")</f>
        <v>#REF!</v>
      </c>
      <c r="EO7" t="e">
        <f>AND('Listado General'!#REF!,"AAAAAG3/DJA=")</f>
        <v>#REF!</v>
      </c>
      <c r="EP7" t="e">
        <f>AND('Listado General'!#REF!,"AAAAAG3/DJE=")</f>
        <v>#REF!</v>
      </c>
      <c r="EQ7" t="e">
        <f>AND('Listado General'!#REF!,"AAAAAG3/DJI=")</f>
        <v>#REF!</v>
      </c>
      <c r="ER7" t="e">
        <f>AND('Listado General'!#REF!,"AAAAAG3/DJM=")</f>
        <v>#REF!</v>
      </c>
      <c r="ES7" t="e">
        <f>AND('Listado General'!#REF!,"AAAAAG3/DJQ=")</f>
        <v>#REF!</v>
      </c>
      <c r="ET7" t="e">
        <f>IF('Listado General'!#REF!,"AAAAAG3/DJU=",0)</f>
        <v>#REF!</v>
      </c>
      <c r="EU7" t="e">
        <f>AND('Listado General'!#REF!,"AAAAAG3/DJY=")</f>
        <v>#REF!</v>
      </c>
      <c r="EV7" t="e">
        <f>AND('Listado General'!#REF!,"AAAAAG3/DJc=")</f>
        <v>#REF!</v>
      </c>
      <c r="EW7" t="e">
        <f>AND('Listado General'!#REF!,"AAAAAG3/DJg=")</f>
        <v>#REF!</v>
      </c>
      <c r="EX7" t="e">
        <f>AND('Listado General'!#REF!,"AAAAAG3/DJk=")</f>
        <v>#REF!</v>
      </c>
      <c r="EY7" t="e">
        <f>AND('Listado General'!#REF!,"AAAAAG3/DJo=")</f>
        <v>#REF!</v>
      </c>
      <c r="EZ7" t="e">
        <f>AND('Listado General'!#REF!,"AAAAAG3/DJs=")</f>
        <v>#REF!</v>
      </c>
      <c r="FA7" t="e">
        <f>AND('Listado General'!#REF!,"AAAAAG3/DJw=")</f>
        <v>#REF!</v>
      </c>
      <c r="FB7" t="e">
        <f>AND('Listado General'!#REF!,"AAAAAG3/DJ0=")</f>
        <v>#REF!</v>
      </c>
      <c r="FC7" t="e">
        <f>AND('Listado General'!#REF!,"AAAAAG3/DJ4=")</f>
        <v>#REF!</v>
      </c>
      <c r="FD7" t="e">
        <f>IF('Listado General'!#REF!,"AAAAAG3/DJ8=",0)</f>
        <v>#REF!</v>
      </c>
      <c r="FE7" t="e">
        <f>AND('Listado General'!#REF!,"AAAAAG3/DKA=")</f>
        <v>#REF!</v>
      </c>
      <c r="FF7" t="e">
        <f>AND('Listado General'!#REF!,"AAAAAG3/DKE=")</f>
        <v>#REF!</v>
      </c>
      <c r="FG7" t="e">
        <f>AND('Listado General'!#REF!,"AAAAAG3/DKI=")</f>
        <v>#REF!</v>
      </c>
      <c r="FH7" t="e">
        <f>AND('Listado General'!#REF!,"AAAAAG3/DKM=")</f>
        <v>#REF!</v>
      </c>
      <c r="FI7" t="e">
        <f>AND('Listado General'!#REF!,"AAAAAG3/DKQ=")</f>
        <v>#REF!</v>
      </c>
      <c r="FJ7" t="e">
        <f>AND('Listado General'!#REF!,"AAAAAG3/DKU=")</f>
        <v>#REF!</v>
      </c>
      <c r="FK7" t="e">
        <f>AND('Listado General'!#REF!,"AAAAAG3/DKY=")</f>
        <v>#REF!</v>
      </c>
      <c r="FL7" t="e">
        <f>AND('Listado General'!#REF!,"AAAAAG3/DKc=")</f>
        <v>#REF!</v>
      </c>
      <c r="FM7" t="e">
        <f>AND('Listado General'!#REF!,"AAAAAG3/DKg=")</f>
        <v>#REF!</v>
      </c>
      <c r="FN7" t="e">
        <f>IF('Listado General'!#REF!,"AAAAAG3/DKk=",0)</f>
        <v>#REF!</v>
      </c>
      <c r="FO7" t="e">
        <f>AND('Listado General'!#REF!,"AAAAAG3/DKo=")</f>
        <v>#REF!</v>
      </c>
      <c r="FP7" t="e">
        <f>AND('Listado General'!#REF!,"AAAAAG3/DKs=")</f>
        <v>#REF!</v>
      </c>
      <c r="FQ7" t="e">
        <f>AND('Listado General'!#REF!,"AAAAAG3/DKw=")</f>
        <v>#REF!</v>
      </c>
      <c r="FR7" t="e">
        <f>AND('Listado General'!#REF!,"AAAAAG3/DK0=")</f>
        <v>#REF!</v>
      </c>
      <c r="FS7" t="e">
        <f>AND('Listado General'!#REF!,"AAAAAG3/DK4=")</f>
        <v>#REF!</v>
      </c>
      <c r="FT7" t="e">
        <f>AND('Listado General'!#REF!,"AAAAAG3/DK8=")</f>
        <v>#REF!</v>
      </c>
      <c r="FU7" t="e">
        <f>AND('Listado General'!#REF!,"AAAAAG3/DLA=")</f>
        <v>#REF!</v>
      </c>
      <c r="FV7" t="e">
        <f>AND('Listado General'!#REF!,"AAAAAG3/DLE=")</f>
        <v>#REF!</v>
      </c>
      <c r="FW7" t="e">
        <f>AND('Listado General'!#REF!,"AAAAAG3/DLI=")</f>
        <v>#REF!</v>
      </c>
      <c r="FX7" t="e">
        <f>IF('Listado General'!#REF!,"AAAAAG3/DLM=",0)</f>
        <v>#REF!</v>
      </c>
      <c r="FY7" t="e">
        <f>AND('Listado General'!#REF!,"AAAAAG3/DLQ=")</f>
        <v>#REF!</v>
      </c>
      <c r="FZ7" t="e">
        <f>AND('Listado General'!#REF!,"AAAAAG3/DLU=")</f>
        <v>#REF!</v>
      </c>
      <c r="GA7" t="e">
        <f>AND('Listado General'!#REF!,"AAAAAG3/DLY=")</f>
        <v>#REF!</v>
      </c>
      <c r="GB7" t="e">
        <f>AND('Listado General'!#REF!,"AAAAAG3/DLc=")</f>
        <v>#REF!</v>
      </c>
      <c r="GC7" t="e">
        <f>AND('Listado General'!#REF!,"AAAAAG3/DLg=")</f>
        <v>#REF!</v>
      </c>
      <c r="GD7" t="e">
        <f>AND('Listado General'!#REF!,"AAAAAG3/DLk=")</f>
        <v>#REF!</v>
      </c>
      <c r="GE7" t="e">
        <f>AND('Listado General'!#REF!,"AAAAAG3/DLo=")</f>
        <v>#REF!</v>
      </c>
      <c r="GF7" t="e">
        <f>AND('Listado General'!#REF!,"AAAAAG3/DLs=")</f>
        <v>#REF!</v>
      </c>
      <c r="GG7" t="e">
        <f>AND('Listado General'!#REF!,"AAAAAG3/DLw=")</f>
        <v>#REF!</v>
      </c>
      <c r="GH7" t="e">
        <f>IF('Listado General'!#REF!,"AAAAAG3/DL0=",0)</f>
        <v>#REF!</v>
      </c>
      <c r="GI7" t="e">
        <f>AND('Listado General'!#REF!,"AAAAAG3/DL4=")</f>
        <v>#REF!</v>
      </c>
      <c r="GJ7" t="e">
        <f>AND('Listado General'!#REF!,"AAAAAG3/DL8=")</f>
        <v>#REF!</v>
      </c>
      <c r="GK7" t="e">
        <f>AND('Listado General'!#REF!,"AAAAAG3/DMA=")</f>
        <v>#REF!</v>
      </c>
      <c r="GL7" t="e">
        <f>AND('Listado General'!#REF!,"AAAAAG3/DME=")</f>
        <v>#REF!</v>
      </c>
      <c r="GM7" t="e">
        <f>AND('Listado General'!#REF!,"AAAAAG3/DMI=")</f>
        <v>#REF!</v>
      </c>
      <c r="GN7" t="e">
        <f>AND('Listado General'!#REF!,"AAAAAG3/DMM=")</f>
        <v>#REF!</v>
      </c>
      <c r="GO7" t="e">
        <f>AND('Listado General'!#REF!,"AAAAAG3/DMQ=")</f>
        <v>#REF!</v>
      </c>
      <c r="GP7" t="e">
        <f>AND('Listado General'!#REF!,"AAAAAG3/DMU=")</f>
        <v>#REF!</v>
      </c>
      <c r="GQ7" t="e">
        <f>AND('Listado General'!#REF!,"AAAAAG3/DMY=")</f>
        <v>#REF!</v>
      </c>
      <c r="GR7" t="e">
        <f>IF('Listado General'!#REF!,"AAAAAG3/DMc=",0)</f>
        <v>#REF!</v>
      </c>
      <c r="GS7" t="e">
        <f>AND('Listado General'!#REF!,"AAAAAG3/DMg=")</f>
        <v>#REF!</v>
      </c>
      <c r="GT7" t="e">
        <f>AND('Listado General'!#REF!,"AAAAAG3/DMk=")</f>
        <v>#REF!</v>
      </c>
      <c r="GU7" t="e">
        <f>AND('Listado General'!#REF!,"AAAAAG3/DMo=")</f>
        <v>#REF!</v>
      </c>
      <c r="GV7" t="e">
        <f>AND('Listado General'!#REF!,"AAAAAG3/DMs=")</f>
        <v>#REF!</v>
      </c>
      <c r="GW7" t="e">
        <f>AND('Listado General'!#REF!,"AAAAAG3/DMw=")</f>
        <v>#REF!</v>
      </c>
      <c r="GX7" t="e">
        <f>AND('Listado General'!#REF!,"AAAAAG3/DM0=")</f>
        <v>#REF!</v>
      </c>
      <c r="GY7" t="e">
        <f>AND('Listado General'!#REF!,"AAAAAG3/DM4=")</f>
        <v>#REF!</v>
      </c>
      <c r="GZ7" t="e">
        <f>AND('Listado General'!#REF!,"AAAAAG3/DM8=")</f>
        <v>#REF!</v>
      </c>
      <c r="HA7" t="e">
        <f>AND('Listado General'!#REF!,"AAAAAG3/DNA=")</f>
        <v>#REF!</v>
      </c>
      <c r="HB7" t="e">
        <f>IF('Listado General'!#REF!,"AAAAAG3/DNE=",0)</f>
        <v>#REF!</v>
      </c>
      <c r="HC7" t="e">
        <f>AND('Listado General'!#REF!,"AAAAAG3/DNI=")</f>
        <v>#REF!</v>
      </c>
      <c r="HD7" t="e">
        <f>AND('Listado General'!#REF!,"AAAAAG3/DNM=")</f>
        <v>#REF!</v>
      </c>
      <c r="HE7" t="e">
        <f>AND('Listado General'!#REF!,"AAAAAG3/DNQ=")</f>
        <v>#REF!</v>
      </c>
      <c r="HF7" t="e">
        <f>AND('Listado General'!#REF!,"AAAAAG3/DNU=")</f>
        <v>#REF!</v>
      </c>
      <c r="HG7" t="e">
        <f>AND('Listado General'!#REF!,"AAAAAG3/DNY=")</f>
        <v>#REF!</v>
      </c>
      <c r="HH7" t="e">
        <f>AND('Listado General'!#REF!,"AAAAAG3/DNc=")</f>
        <v>#REF!</v>
      </c>
      <c r="HI7" t="e">
        <f>AND('Listado General'!#REF!,"AAAAAG3/DNg=")</f>
        <v>#REF!</v>
      </c>
      <c r="HJ7" t="e">
        <f>AND('Listado General'!#REF!,"AAAAAG3/DNk=")</f>
        <v>#REF!</v>
      </c>
      <c r="HK7" t="e">
        <f>AND('Listado General'!#REF!,"AAAAAG3/DNo=")</f>
        <v>#REF!</v>
      </c>
      <c r="HL7" t="e">
        <f>IF('Listado General'!#REF!,"AAAAAG3/DNs=",0)</f>
        <v>#REF!</v>
      </c>
      <c r="HM7" t="e">
        <f>AND('Listado General'!#REF!,"AAAAAG3/DNw=")</f>
        <v>#REF!</v>
      </c>
      <c r="HN7" t="e">
        <f>AND('Listado General'!#REF!,"AAAAAG3/DN0=")</f>
        <v>#REF!</v>
      </c>
      <c r="HO7" t="e">
        <f>AND('Listado General'!#REF!,"AAAAAG3/DN4=")</f>
        <v>#REF!</v>
      </c>
      <c r="HP7" t="e">
        <f>AND('Listado General'!#REF!,"AAAAAG3/DN8=")</f>
        <v>#REF!</v>
      </c>
      <c r="HQ7" t="e">
        <f>AND('Listado General'!#REF!,"AAAAAG3/DOA=")</f>
        <v>#REF!</v>
      </c>
      <c r="HR7" t="e">
        <f>AND('Listado General'!#REF!,"AAAAAG3/DOE=")</f>
        <v>#REF!</v>
      </c>
      <c r="HS7" t="e">
        <f>AND('Listado General'!#REF!,"AAAAAG3/DOI=")</f>
        <v>#REF!</v>
      </c>
      <c r="HT7" t="e">
        <f>AND('Listado General'!#REF!,"AAAAAG3/DOM=")</f>
        <v>#REF!</v>
      </c>
      <c r="HU7" t="e">
        <f>AND('Listado General'!#REF!,"AAAAAG3/DOQ=")</f>
        <v>#REF!</v>
      </c>
      <c r="HV7" t="e">
        <f>IF('Listado General'!#REF!,"AAAAAG3/DOU=",0)</f>
        <v>#REF!</v>
      </c>
      <c r="HW7" t="e">
        <f>AND('Listado General'!#REF!,"AAAAAG3/DOY=")</f>
        <v>#REF!</v>
      </c>
      <c r="HX7" t="e">
        <f>AND('Listado General'!#REF!,"AAAAAG3/DOc=")</f>
        <v>#REF!</v>
      </c>
      <c r="HY7" t="e">
        <f>AND('Listado General'!#REF!,"AAAAAG3/DOg=")</f>
        <v>#REF!</v>
      </c>
      <c r="HZ7" t="e">
        <f>AND('Listado General'!#REF!,"AAAAAG3/DOk=")</f>
        <v>#REF!</v>
      </c>
      <c r="IA7" t="e">
        <f>AND('Listado General'!#REF!,"AAAAAG3/DOo=")</f>
        <v>#REF!</v>
      </c>
      <c r="IB7" t="e">
        <f>AND('Listado General'!#REF!,"AAAAAG3/DOs=")</f>
        <v>#REF!</v>
      </c>
      <c r="IC7" t="e">
        <f>AND('Listado General'!#REF!,"AAAAAG3/DOw=")</f>
        <v>#REF!</v>
      </c>
      <c r="ID7" t="e">
        <f>AND('Listado General'!#REF!,"AAAAAG3/DO0=")</f>
        <v>#REF!</v>
      </c>
      <c r="IE7" t="e">
        <f>AND('Listado General'!#REF!,"AAAAAG3/DO4=")</f>
        <v>#REF!</v>
      </c>
      <c r="IF7" t="e">
        <f>IF('Listado General'!#REF!,"AAAAAG3/DO8=",0)</f>
        <v>#REF!</v>
      </c>
      <c r="IG7" t="e">
        <f>AND('Listado General'!#REF!,"AAAAAG3/DPA=")</f>
        <v>#REF!</v>
      </c>
      <c r="IH7" t="e">
        <f>AND('Listado General'!#REF!,"AAAAAG3/DPE=")</f>
        <v>#REF!</v>
      </c>
      <c r="II7" t="e">
        <f>AND('Listado General'!#REF!,"AAAAAG3/DPI=")</f>
        <v>#REF!</v>
      </c>
      <c r="IJ7" t="e">
        <f>AND('Listado General'!#REF!,"AAAAAG3/DPM=")</f>
        <v>#REF!</v>
      </c>
      <c r="IK7" t="e">
        <f>AND('Listado General'!#REF!,"AAAAAG3/DPQ=")</f>
        <v>#REF!</v>
      </c>
      <c r="IL7" t="e">
        <f>AND('Listado General'!#REF!,"AAAAAG3/DPU=")</f>
        <v>#REF!</v>
      </c>
      <c r="IM7" t="e">
        <f>AND('Listado General'!#REF!,"AAAAAG3/DPY=")</f>
        <v>#REF!</v>
      </c>
      <c r="IN7" t="e">
        <f>AND('Listado General'!#REF!,"AAAAAG3/DPc=")</f>
        <v>#REF!</v>
      </c>
      <c r="IO7" t="e">
        <f>AND('Listado General'!#REF!,"AAAAAG3/DPg=")</f>
        <v>#REF!</v>
      </c>
      <c r="IP7" t="e">
        <f>IF('Listado General'!#REF!,"AAAAAG3/DPk=",0)</f>
        <v>#REF!</v>
      </c>
      <c r="IQ7" t="e">
        <f>AND('Listado General'!#REF!,"AAAAAG3/DPo=")</f>
        <v>#REF!</v>
      </c>
      <c r="IR7" t="e">
        <f>AND('Listado General'!#REF!,"AAAAAG3/DPs=")</f>
        <v>#REF!</v>
      </c>
      <c r="IS7" t="e">
        <f>AND('Listado General'!#REF!,"AAAAAG3/DPw=")</f>
        <v>#REF!</v>
      </c>
      <c r="IT7" t="e">
        <f>AND('Listado General'!#REF!,"AAAAAG3/DP0=")</f>
        <v>#REF!</v>
      </c>
      <c r="IU7" t="e">
        <f>AND('Listado General'!#REF!,"AAAAAG3/DP4=")</f>
        <v>#REF!</v>
      </c>
      <c r="IV7" t="e">
        <f>AND('Listado General'!#REF!,"AAAAAG3/DP8=")</f>
        <v>#REF!</v>
      </c>
    </row>
    <row r="8" spans="1:256" ht="12.75">
      <c r="A8" t="e">
        <f>AND('Listado General'!#REF!,"AAAAAG+f6wA=")</f>
        <v>#REF!</v>
      </c>
      <c r="B8" t="e">
        <f>AND('Listado General'!#REF!,"AAAAAG+f6wE=")</f>
        <v>#REF!</v>
      </c>
      <c r="C8" t="e">
        <f>AND('Listado General'!#REF!,"AAAAAG+f6wI=")</f>
        <v>#REF!</v>
      </c>
      <c r="D8" t="e">
        <f>IF('Listado General'!#REF!,"AAAAAG+f6wM=",0)</f>
        <v>#REF!</v>
      </c>
      <c r="E8" t="e">
        <f>AND('Listado General'!#REF!,"AAAAAG+f6wQ=")</f>
        <v>#REF!</v>
      </c>
      <c r="F8" t="e">
        <f>AND('Listado General'!#REF!,"AAAAAG+f6wU=")</f>
        <v>#REF!</v>
      </c>
      <c r="G8" t="e">
        <f>AND('Listado General'!#REF!,"AAAAAG+f6wY=")</f>
        <v>#REF!</v>
      </c>
      <c r="H8" t="e">
        <f>AND('Listado General'!#REF!,"AAAAAG+f6wc=")</f>
        <v>#REF!</v>
      </c>
      <c r="I8" t="e">
        <f>AND('Listado General'!#REF!,"AAAAAG+f6wg=")</f>
        <v>#REF!</v>
      </c>
      <c r="J8" t="e">
        <f>AND('Listado General'!#REF!,"AAAAAG+f6wk=")</f>
        <v>#REF!</v>
      </c>
      <c r="K8" t="e">
        <f>AND('Listado General'!#REF!,"AAAAAG+f6wo=")</f>
        <v>#REF!</v>
      </c>
      <c r="L8" t="e">
        <f>AND('Listado General'!#REF!,"AAAAAG+f6ws=")</f>
        <v>#REF!</v>
      </c>
      <c r="M8" t="e">
        <f>AND('Listado General'!#REF!,"AAAAAG+f6ww=")</f>
        <v>#REF!</v>
      </c>
      <c r="N8" t="e">
        <f>IF('Listado General'!#REF!,"AAAAAG+f6w0=",0)</f>
        <v>#REF!</v>
      </c>
      <c r="O8" t="e">
        <f>AND('Listado General'!#REF!,"AAAAAG+f6w4=")</f>
        <v>#REF!</v>
      </c>
      <c r="P8" t="e">
        <f>AND('Listado General'!#REF!,"AAAAAG+f6w8=")</f>
        <v>#REF!</v>
      </c>
      <c r="Q8" t="e">
        <f>AND('Listado General'!#REF!,"AAAAAG+f6xA=")</f>
        <v>#REF!</v>
      </c>
      <c r="R8" t="e">
        <f>AND('Listado General'!#REF!,"AAAAAG+f6xE=")</f>
        <v>#REF!</v>
      </c>
      <c r="S8" t="e">
        <f>AND('Listado General'!#REF!,"AAAAAG+f6xI=")</f>
        <v>#REF!</v>
      </c>
      <c r="T8" t="e">
        <f>AND('Listado General'!#REF!,"AAAAAG+f6xM=")</f>
        <v>#REF!</v>
      </c>
      <c r="U8" t="e">
        <f>AND('Listado General'!#REF!,"AAAAAG+f6xQ=")</f>
        <v>#REF!</v>
      </c>
      <c r="V8" t="e">
        <f>AND('Listado General'!#REF!,"AAAAAG+f6xU=")</f>
        <v>#REF!</v>
      </c>
      <c r="W8" t="e">
        <f>AND('Listado General'!#REF!,"AAAAAG+f6xY=")</f>
        <v>#REF!</v>
      </c>
      <c r="X8" t="e">
        <f>IF('Listado General'!#REF!,"AAAAAG+f6xc=",0)</f>
        <v>#REF!</v>
      </c>
      <c r="Y8" t="e">
        <f>AND('Listado General'!#REF!,"AAAAAG+f6xg=")</f>
        <v>#REF!</v>
      </c>
      <c r="Z8" t="e">
        <f>AND('Listado General'!#REF!,"AAAAAG+f6xk=")</f>
        <v>#REF!</v>
      </c>
      <c r="AA8" t="e">
        <f>AND('Listado General'!#REF!,"AAAAAG+f6xo=")</f>
        <v>#REF!</v>
      </c>
      <c r="AB8" t="e">
        <f>AND('Listado General'!#REF!,"AAAAAG+f6xs=")</f>
        <v>#REF!</v>
      </c>
      <c r="AC8" t="e">
        <f>AND('Listado General'!#REF!,"AAAAAG+f6xw=")</f>
        <v>#REF!</v>
      </c>
      <c r="AD8" t="e">
        <f>AND('Listado General'!#REF!,"AAAAAG+f6x0=")</f>
        <v>#REF!</v>
      </c>
      <c r="AE8" t="e">
        <f>AND('Listado General'!#REF!,"AAAAAG+f6x4=")</f>
        <v>#REF!</v>
      </c>
      <c r="AF8" t="e">
        <f>AND('Listado General'!#REF!,"AAAAAG+f6x8=")</f>
        <v>#REF!</v>
      </c>
      <c r="AG8" t="e">
        <f>AND('Listado General'!#REF!,"AAAAAG+f6yA=")</f>
        <v>#REF!</v>
      </c>
      <c r="AH8" t="e">
        <f>IF('Listado General'!#REF!,"AAAAAG+f6yE=",0)</f>
        <v>#REF!</v>
      </c>
      <c r="AI8" t="e">
        <f>AND('Listado General'!#REF!,"AAAAAG+f6yI=")</f>
        <v>#REF!</v>
      </c>
      <c r="AJ8" t="e">
        <f>AND('Listado General'!#REF!,"AAAAAG+f6yM=")</f>
        <v>#REF!</v>
      </c>
      <c r="AK8" t="e">
        <f>AND('Listado General'!#REF!,"AAAAAG+f6yQ=")</f>
        <v>#REF!</v>
      </c>
      <c r="AL8" t="e">
        <f>AND('Listado General'!#REF!,"AAAAAG+f6yU=")</f>
        <v>#REF!</v>
      </c>
      <c r="AM8" t="e">
        <f>AND('Listado General'!#REF!,"AAAAAG+f6yY=")</f>
        <v>#REF!</v>
      </c>
      <c r="AN8" t="e">
        <f>AND('Listado General'!#REF!,"AAAAAG+f6yc=")</f>
        <v>#REF!</v>
      </c>
      <c r="AO8" t="e">
        <f>AND('Listado General'!#REF!,"AAAAAG+f6yg=")</f>
        <v>#REF!</v>
      </c>
      <c r="AP8" t="e">
        <f>AND('Listado General'!#REF!,"AAAAAG+f6yk=")</f>
        <v>#REF!</v>
      </c>
      <c r="AQ8" t="e">
        <f>AND('Listado General'!#REF!,"AAAAAG+f6yo=")</f>
        <v>#REF!</v>
      </c>
      <c r="AR8" t="e">
        <f>IF('Listado General'!#REF!,"AAAAAG+f6ys=",0)</f>
        <v>#REF!</v>
      </c>
      <c r="AS8" t="e">
        <f>AND('Listado General'!#REF!,"AAAAAG+f6yw=")</f>
        <v>#REF!</v>
      </c>
      <c r="AT8" t="e">
        <f>AND('Listado General'!#REF!,"AAAAAG+f6y0=")</f>
        <v>#REF!</v>
      </c>
      <c r="AU8" t="e">
        <f>AND('Listado General'!#REF!,"AAAAAG+f6y4=")</f>
        <v>#REF!</v>
      </c>
      <c r="AV8" t="e">
        <f>AND('Listado General'!#REF!,"AAAAAG+f6y8=")</f>
        <v>#REF!</v>
      </c>
      <c r="AW8" t="e">
        <f>AND('Listado General'!#REF!,"AAAAAG+f6zA=")</f>
        <v>#REF!</v>
      </c>
      <c r="AX8" t="e">
        <f>AND('Listado General'!#REF!,"AAAAAG+f6zE=")</f>
        <v>#REF!</v>
      </c>
      <c r="AY8" t="e">
        <f>AND('Listado General'!#REF!,"AAAAAG+f6zI=")</f>
        <v>#REF!</v>
      </c>
      <c r="AZ8" t="e">
        <f>AND('Listado General'!#REF!,"AAAAAG+f6zM=")</f>
        <v>#REF!</v>
      </c>
      <c r="BA8" t="e">
        <f>AND('Listado General'!#REF!,"AAAAAG+f6zQ=")</f>
        <v>#REF!</v>
      </c>
      <c r="BB8" t="e">
        <f>IF('Listado General'!#REF!,"AAAAAG+f6zU=",0)</f>
        <v>#REF!</v>
      </c>
      <c r="BC8" t="e">
        <f>AND('Listado General'!#REF!,"AAAAAG+f6zY=")</f>
        <v>#REF!</v>
      </c>
      <c r="BD8" t="e">
        <f>AND('Listado General'!#REF!,"AAAAAG+f6zc=")</f>
        <v>#REF!</v>
      </c>
      <c r="BE8" t="e">
        <f>AND('Listado General'!#REF!,"AAAAAG+f6zg=")</f>
        <v>#REF!</v>
      </c>
      <c r="BF8" t="e">
        <f>AND('Listado General'!#REF!,"AAAAAG+f6zk=")</f>
        <v>#REF!</v>
      </c>
      <c r="BG8" t="e">
        <f>AND('Listado General'!#REF!,"AAAAAG+f6zo=")</f>
        <v>#REF!</v>
      </c>
      <c r="BH8" t="e">
        <f>AND('Listado General'!#REF!,"AAAAAG+f6zs=")</f>
        <v>#REF!</v>
      </c>
      <c r="BI8" t="e">
        <f>AND('Listado General'!#REF!,"AAAAAG+f6zw=")</f>
        <v>#REF!</v>
      </c>
      <c r="BJ8" t="e">
        <f>AND('Listado General'!#REF!,"AAAAAG+f6z0=")</f>
        <v>#REF!</v>
      </c>
      <c r="BK8" t="e">
        <f>AND('Listado General'!#REF!,"AAAAAG+f6z4=")</f>
        <v>#REF!</v>
      </c>
      <c r="BL8" t="e">
        <f>IF('Listado General'!#REF!,"AAAAAG+f6z8=",0)</f>
        <v>#REF!</v>
      </c>
      <c r="BM8" t="e">
        <f>AND('Listado General'!#REF!,"AAAAAG+f60A=")</f>
        <v>#REF!</v>
      </c>
      <c r="BN8" t="e">
        <f>AND('Listado General'!#REF!,"AAAAAG+f60E=")</f>
        <v>#REF!</v>
      </c>
      <c r="BO8" t="e">
        <f>AND('Listado General'!#REF!,"AAAAAG+f60I=")</f>
        <v>#REF!</v>
      </c>
      <c r="BP8" t="e">
        <f>AND('Listado General'!#REF!,"AAAAAG+f60M=")</f>
        <v>#REF!</v>
      </c>
      <c r="BQ8" t="e">
        <f>AND('Listado General'!#REF!,"AAAAAG+f60Q=")</f>
        <v>#REF!</v>
      </c>
      <c r="BR8" t="e">
        <f>AND('Listado General'!#REF!,"AAAAAG+f60U=")</f>
        <v>#REF!</v>
      </c>
      <c r="BS8" t="e">
        <f>AND('Listado General'!#REF!,"AAAAAG+f60Y=")</f>
        <v>#REF!</v>
      </c>
      <c r="BT8" t="e">
        <f>AND('Listado General'!#REF!,"AAAAAG+f60c=")</f>
        <v>#REF!</v>
      </c>
      <c r="BU8" t="e">
        <f>AND('Listado General'!#REF!,"AAAAAG+f60g=")</f>
        <v>#REF!</v>
      </c>
      <c r="BV8" t="e">
        <f>IF('Listado General'!#REF!,"AAAAAG+f60k=",0)</f>
        <v>#REF!</v>
      </c>
      <c r="BW8" t="e">
        <f>AND('Listado General'!#REF!,"AAAAAG+f60o=")</f>
        <v>#REF!</v>
      </c>
      <c r="BX8" t="e">
        <f>AND('Listado General'!#REF!,"AAAAAG+f60s=")</f>
        <v>#REF!</v>
      </c>
      <c r="BY8" t="e">
        <f>AND('Listado General'!#REF!,"AAAAAG+f60w=")</f>
        <v>#REF!</v>
      </c>
      <c r="BZ8" t="e">
        <f>AND('Listado General'!#REF!,"AAAAAG+f600=")</f>
        <v>#REF!</v>
      </c>
      <c r="CA8" t="e">
        <f>AND('Listado General'!#REF!,"AAAAAG+f604=")</f>
        <v>#REF!</v>
      </c>
      <c r="CB8" t="e">
        <f>AND('Listado General'!#REF!,"AAAAAG+f608=")</f>
        <v>#REF!</v>
      </c>
      <c r="CC8" t="e">
        <f>AND('Listado General'!#REF!,"AAAAAG+f61A=")</f>
        <v>#REF!</v>
      </c>
      <c r="CD8" t="e">
        <f>AND('Listado General'!#REF!,"AAAAAG+f61E=")</f>
        <v>#REF!</v>
      </c>
      <c r="CE8" t="e">
        <f>AND('Listado General'!#REF!,"AAAAAG+f61I=")</f>
        <v>#REF!</v>
      </c>
      <c r="CF8" t="e">
        <f>IF('Listado General'!#REF!,"AAAAAG+f61M=",0)</f>
        <v>#REF!</v>
      </c>
      <c r="CG8" t="e">
        <f>AND('Listado General'!#REF!,"AAAAAG+f61Q=")</f>
        <v>#REF!</v>
      </c>
      <c r="CH8" t="e">
        <f>AND('Listado General'!#REF!,"AAAAAG+f61U=")</f>
        <v>#REF!</v>
      </c>
      <c r="CI8" t="e">
        <f>AND('Listado General'!#REF!,"AAAAAG+f61Y=")</f>
        <v>#REF!</v>
      </c>
      <c r="CJ8" t="e">
        <f>AND('Listado General'!#REF!,"AAAAAG+f61c=")</f>
        <v>#REF!</v>
      </c>
      <c r="CK8" t="e">
        <f>AND('Listado General'!#REF!,"AAAAAG+f61g=")</f>
        <v>#REF!</v>
      </c>
      <c r="CL8" t="e">
        <f>AND('Listado General'!#REF!,"AAAAAG+f61k=")</f>
        <v>#REF!</v>
      </c>
      <c r="CM8" t="e">
        <f>AND('Listado General'!#REF!,"AAAAAG+f61o=")</f>
        <v>#REF!</v>
      </c>
      <c r="CN8" t="e">
        <f>AND('Listado General'!#REF!,"AAAAAG+f61s=")</f>
        <v>#REF!</v>
      </c>
      <c r="CO8" t="e">
        <f>AND('Listado General'!#REF!,"AAAAAG+f61w=")</f>
        <v>#REF!</v>
      </c>
      <c r="CP8" t="e">
        <f>IF('Listado General'!#REF!,"AAAAAG+f610=",0)</f>
        <v>#REF!</v>
      </c>
      <c r="CQ8" t="e">
        <f>AND('Listado General'!#REF!,"AAAAAG+f614=")</f>
        <v>#REF!</v>
      </c>
      <c r="CR8" t="e">
        <f>AND('Listado General'!#REF!,"AAAAAG+f618=")</f>
        <v>#REF!</v>
      </c>
      <c r="CS8" t="e">
        <f>AND('Listado General'!#REF!,"AAAAAG+f62A=")</f>
        <v>#REF!</v>
      </c>
      <c r="CT8" t="e">
        <f>AND('Listado General'!#REF!,"AAAAAG+f62E=")</f>
        <v>#REF!</v>
      </c>
      <c r="CU8" t="e">
        <f>AND('Listado General'!#REF!,"AAAAAG+f62I=")</f>
        <v>#REF!</v>
      </c>
      <c r="CV8" t="e">
        <f>AND('Listado General'!#REF!,"AAAAAG+f62M=")</f>
        <v>#REF!</v>
      </c>
      <c r="CW8" t="e">
        <f>AND('Listado General'!#REF!,"AAAAAG+f62Q=")</f>
        <v>#REF!</v>
      </c>
      <c r="CX8" t="e">
        <f>AND('Listado General'!#REF!,"AAAAAG+f62U=")</f>
        <v>#REF!</v>
      </c>
      <c r="CY8" t="e">
        <f>AND('Listado General'!#REF!,"AAAAAG+f62Y=")</f>
        <v>#REF!</v>
      </c>
      <c r="CZ8" t="e">
        <f>IF('Listado General'!#REF!,"AAAAAG+f62c=",0)</f>
        <v>#REF!</v>
      </c>
      <c r="DA8" t="e">
        <f>AND('Listado General'!#REF!,"AAAAAG+f62g=")</f>
        <v>#REF!</v>
      </c>
      <c r="DB8" t="e">
        <f>AND('Listado General'!#REF!,"AAAAAG+f62k=")</f>
        <v>#REF!</v>
      </c>
      <c r="DC8" t="e">
        <f>AND('Listado General'!#REF!,"AAAAAG+f62o=")</f>
        <v>#REF!</v>
      </c>
      <c r="DD8" t="e">
        <f>AND('Listado General'!#REF!,"AAAAAG+f62s=")</f>
        <v>#REF!</v>
      </c>
      <c r="DE8" t="e">
        <f>AND('Listado General'!#REF!,"AAAAAG+f62w=")</f>
        <v>#REF!</v>
      </c>
      <c r="DF8" t="e">
        <f>AND('Listado General'!#REF!,"AAAAAG+f620=")</f>
        <v>#REF!</v>
      </c>
      <c r="DG8" t="e">
        <f>AND('Listado General'!#REF!,"AAAAAG+f624=")</f>
        <v>#REF!</v>
      </c>
      <c r="DH8" t="e">
        <f>AND('Listado General'!#REF!,"AAAAAG+f628=")</f>
        <v>#REF!</v>
      </c>
      <c r="DI8" t="e">
        <f>AND('Listado General'!#REF!,"AAAAAG+f63A=")</f>
        <v>#REF!</v>
      </c>
      <c r="DJ8" t="e">
        <f>IF('Listado General'!#REF!,"AAAAAG+f63E=",0)</f>
        <v>#REF!</v>
      </c>
      <c r="DK8" t="e">
        <f>AND('Listado General'!#REF!,"AAAAAG+f63I=")</f>
        <v>#REF!</v>
      </c>
      <c r="DL8" t="e">
        <f>AND('Listado General'!#REF!,"AAAAAG+f63M=")</f>
        <v>#REF!</v>
      </c>
      <c r="DM8" t="e">
        <f>AND('Listado General'!#REF!,"AAAAAG+f63Q=")</f>
        <v>#REF!</v>
      </c>
      <c r="DN8" t="e">
        <f>AND('Listado General'!#REF!,"AAAAAG+f63U=")</f>
        <v>#REF!</v>
      </c>
      <c r="DO8" t="e">
        <f>AND('Listado General'!#REF!,"AAAAAG+f63Y=")</f>
        <v>#REF!</v>
      </c>
      <c r="DP8" t="e">
        <f>AND('Listado General'!#REF!,"AAAAAG+f63c=")</f>
        <v>#REF!</v>
      </c>
      <c r="DQ8" t="e">
        <f>AND('Listado General'!#REF!,"AAAAAG+f63g=")</f>
        <v>#REF!</v>
      </c>
      <c r="DR8" t="e">
        <f>AND('Listado General'!#REF!,"AAAAAG+f63k=")</f>
        <v>#REF!</v>
      </c>
      <c r="DS8" t="e">
        <f>AND('Listado General'!#REF!,"AAAAAG+f63o=")</f>
        <v>#REF!</v>
      </c>
      <c r="DT8" t="e">
        <f>IF('Listado General'!#REF!,"AAAAAG+f63s=",0)</f>
        <v>#REF!</v>
      </c>
      <c r="DU8" t="e">
        <f>AND('Listado General'!#REF!,"AAAAAG+f63w=")</f>
        <v>#REF!</v>
      </c>
      <c r="DV8" t="e">
        <f>AND('Listado General'!#REF!,"AAAAAG+f630=")</f>
        <v>#REF!</v>
      </c>
      <c r="DW8" t="e">
        <f>AND('Listado General'!#REF!,"AAAAAG+f634=")</f>
        <v>#REF!</v>
      </c>
      <c r="DX8" t="e">
        <f>AND('Listado General'!#REF!,"AAAAAG+f638=")</f>
        <v>#REF!</v>
      </c>
      <c r="DY8" t="e">
        <f>AND('Listado General'!#REF!,"AAAAAG+f64A=")</f>
        <v>#REF!</v>
      </c>
      <c r="DZ8" t="e">
        <f>AND('Listado General'!#REF!,"AAAAAG+f64E=")</f>
        <v>#REF!</v>
      </c>
      <c r="EA8" t="e">
        <f>AND('Listado General'!#REF!,"AAAAAG+f64I=")</f>
        <v>#REF!</v>
      </c>
      <c r="EB8" t="e">
        <f>AND('Listado General'!#REF!,"AAAAAG+f64M=")</f>
        <v>#REF!</v>
      </c>
      <c r="EC8" t="e">
        <f>AND('Listado General'!#REF!,"AAAAAG+f64Q=")</f>
        <v>#REF!</v>
      </c>
      <c r="ED8" t="e">
        <f>IF('Listado General'!#REF!,"AAAAAG+f64U=",0)</f>
        <v>#REF!</v>
      </c>
      <c r="EE8" t="e">
        <f>AND('Listado General'!#REF!,"AAAAAG+f64Y=")</f>
        <v>#REF!</v>
      </c>
      <c r="EF8" t="e">
        <f>AND('Listado General'!#REF!,"AAAAAG+f64c=")</f>
        <v>#REF!</v>
      </c>
      <c r="EG8" t="e">
        <f>AND('Listado General'!#REF!,"AAAAAG+f64g=")</f>
        <v>#REF!</v>
      </c>
      <c r="EH8" t="e">
        <f>AND('Listado General'!#REF!,"AAAAAG+f64k=")</f>
        <v>#REF!</v>
      </c>
      <c r="EI8" t="e">
        <f>AND('Listado General'!#REF!,"AAAAAG+f64o=")</f>
        <v>#REF!</v>
      </c>
      <c r="EJ8" t="e">
        <f>AND('Listado General'!#REF!,"AAAAAG+f64s=")</f>
        <v>#REF!</v>
      </c>
      <c r="EK8" t="e">
        <f>AND('Listado General'!#REF!,"AAAAAG+f64w=")</f>
        <v>#REF!</v>
      </c>
      <c r="EL8" t="e">
        <f>AND('Listado General'!#REF!,"AAAAAG+f640=")</f>
        <v>#REF!</v>
      </c>
      <c r="EM8" t="e">
        <f>AND('Listado General'!#REF!,"AAAAAG+f644=")</f>
        <v>#REF!</v>
      </c>
      <c r="EN8" t="e">
        <f>IF('Listado General'!#REF!,"AAAAAG+f648=",0)</f>
        <v>#REF!</v>
      </c>
      <c r="EO8" t="e">
        <f>AND('Listado General'!#REF!,"AAAAAG+f65A=")</f>
        <v>#REF!</v>
      </c>
      <c r="EP8" t="e">
        <f>AND('Listado General'!#REF!,"AAAAAG+f65E=")</f>
        <v>#REF!</v>
      </c>
      <c r="EQ8" t="e">
        <f>AND('Listado General'!#REF!,"AAAAAG+f65I=")</f>
        <v>#REF!</v>
      </c>
      <c r="ER8" t="e">
        <f>AND('Listado General'!#REF!,"AAAAAG+f65M=")</f>
        <v>#REF!</v>
      </c>
      <c r="ES8" t="e">
        <f>AND('Listado General'!#REF!,"AAAAAG+f65Q=")</f>
        <v>#REF!</v>
      </c>
      <c r="ET8" t="e">
        <f>AND('Listado General'!#REF!,"AAAAAG+f65U=")</f>
        <v>#REF!</v>
      </c>
      <c r="EU8" t="e">
        <f>AND('Listado General'!#REF!,"AAAAAG+f65Y=")</f>
        <v>#REF!</v>
      </c>
      <c r="EV8" t="e">
        <f>AND('Listado General'!#REF!,"AAAAAG+f65c=")</f>
        <v>#REF!</v>
      </c>
      <c r="EW8" t="e">
        <f>AND('Listado General'!#REF!,"AAAAAG+f65g=")</f>
        <v>#REF!</v>
      </c>
      <c r="EX8" t="e">
        <f>IF('Listado General'!#REF!,"AAAAAG+f65k=",0)</f>
        <v>#REF!</v>
      </c>
      <c r="EY8" t="e">
        <f>AND('Listado General'!#REF!,"AAAAAG+f65o=")</f>
        <v>#REF!</v>
      </c>
      <c r="EZ8" t="e">
        <f>AND('Listado General'!#REF!,"AAAAAG+f65s=")</f>
        <v>#REF!</v>
      </c>
      <c r="FA8" t="e">
        <f>AND('Listado General'!#REF!,"AAAAAG+f65w=")</f>
        <v>#REF!</v>
      </c>
      <c r="FB8" t="e">
        <f>AND('Listado General'!#REF!,"AAAAAG+f650=")</f>
        <v>#REF!</v>
      </c>
      <c r="FC8" t="e">
        <f>AND('Listado General'!#REF!,"AAAAAG+f654=")</f>
        <v>#REF!</v>
      </c>
      <c r="FD8" t="e">
        <f>AND('Listado General'!#REF!,"AAAAAG+f658=")</f>
        <v>#REF!</v>
      </c>
      <c r="FE8" t="e">
        <f>AND('Listado General'!#REF!,"AAAAAG+f66A=")</f>
        <v>#REF!</v>
      </c>
      <c r="FF8" t="e">
        <f>AND('Listado General'!#REF!,"AAAAAG+f66E=")</f>
        <v>#REF!</v>
      </c>
      <c r="FG8" t="e">
        <f>AND('Listado General'!#REF!,"AAAAAG+f66I=")</f>
        <v>#REF!</v>
      </c>
      <c r="FH8" t="e">
        <f>IF('Listado General'!#REF!,"AAAAAG+f66M=",0)</f>
        <v>#REF!</v>
      </c>
      <c r="FI8" t="e">
        <f>AND('Listado General'!#REF!,"AAAAAG+f66Q=")</f>
        <v>#REF!</v>
      </c>
      <c r="FJ8" t="e">
        <f>AND('Listado General'!#REF!,"AAAAAG+f66U=")</f>
        <v>#REF!</v>
      </c>
      <c r="FK8" t="e">
        <f>AND('Listado General'!#REF!,"AAAAAG+f66Y=")</f>
        <v>#REF!</v>
      </c>
      <c r="FL8" t="e">
        <f>AND('Listado General'!#REF!,"AAAAAG+f66c=")</f>
        <v>#REF!</v>
      </c>
      <c r="FM8" t="e">
        <f>AND('Listado General'!#REF!,"AAAAAG+f66g=")</f>
        <v>#REF!</v>
      </c>
      <c r="FN8" t="e">
        <f>AND('Listado General'!#REF!,"AAAAAG+f66k=")</f>
        <v>#REF!</v>
      </c>
      <c r="FO8" t="e">
        <f>AND('Listado General'!#REF!,"AAAAAG+f66o=")</f>
        <v>#REF!</v>
      </c>
      <c r="FP8" t="e">
        <f>AND('Listado General'!#REF!,"AAAAAG+f66s=")</f>
        <v>#REF!</v>
      </c>
      <c r="FQ8" t="e">
        <f>AND('Listado General'!#REF!,"AAAAAG+f66w=")</f>
        <v>#REF!</v>
      </c>
      <c r="FR8" t="e">
        <f>IF('Listado General'!#REF!,"AAAAAG+f660=",0)</f>
        <v>#REF!</v>
      </c>
      <c r="FS8" t="e">
        <f>AND('Listado General'!#REF!,"AAAAAG+f664=")</f>
        <v>#REF!</v>
      </c>
      <c r="FT8" t="e">
        <f>AND('Listado General'!#REF!,"AAAAAG+f668=")</f>
        <v>#REF!</v>
      </c>
      <c r="FU8" t="e">
        <f>AND('Listado General'!#REF!,"AAAAAG+f67A=")</f>
        <v>#REF!</v>
      </c>
      <c r="FV8" t="e">
        <f>AND('Listado General'!#REF!,"AAAAAG+f67E=")</f>
        <v>#REF!</v>
      </c>
      <c r="FW8" t="e">
        <f>AND('Listado General'!#REF!,"AAAAAG+f67I=")</f>
        <v>#REF!</v>
      </c>
      <c r="FX8" t="e">
        <f>AND('Listado General'!#REF!,"AAAAAG+f67M=")</f>
        <v>#REF!</v>
      </c>
      <c r="FY8" t="e">
        <f>AND('Listado General'!#REF!,"AAAAAG+f67Q=")</f>
        <v>#REF!</v>
      </c>
      <c r="FZ8" t="e">
        <f>AND('Listado General'!#REF!,"AAAAAG+f67U=")</f>
        <v>#REF!</v>
      </c>
      <c r="GA8" t="e">
        <f>AND('Listado General'!#REF!,"AAAAAG+f67Y=")</f>
        <v>#REF!</v>
      </c>
      <c r="GB8" t="e">
        <f>IF('Listado General'!#REF!,"AAAAAG+f67c=",0)</f>
        <v>#REF!</v>
      </c>
      <c r="GC8" t="e">
        <f>AND('Listado General'!#REF!,"AAAAAG+f67g=")</f>
        <v>#REF!</v>
      </c>
      <c r="GD8" t="e">
        <f>AND('Listado General'!#REF!,"AAAAAG+f67k=")</f>
        <v>#REF!</v>
      </c>
      <c r="GE8" t="e">
        <f>AND('Listado General'!#REF!,"AAAAAG+f67o=")</f>
        <v>#REF!</v>
      </c>
      <c r="GF8" t="e">
        <f>AND('Listado General'!#REF!,"AAAAAG+f67s=")</f>
        <v>#REF!</v>
      </c>
      <c r="GG8" t="e">
        <f>AND('Listado General'!#REF!,"AAAAAG+f67w=")</f>
        <v>#REF!</v>
      </c>
      <c r="GH8" t="e">
        <f>AND('Listado General'!#REF!,"AAAAAG+f670=")</f>
        <v>#REF!</v>
      </c>
      <c r="GI8" t="e">
        <f>AND('Listado General'!#REF!,"AAAAAG+f674=")</f>
        <v>#REF!</v>
      </c>
      <c r="GJ8" t="e">
        <f>AND('Listado General'!#REF!,"AAAAAG+f678=")</f>
        <v>#REF!</v>
      </c>
      <c r="GK8" t="e">
        <f>AND('Listado General'!#REF!,"AAAAAG+f68A=")</f>
        <v>#REF!</v>
      </c>
      <c r="GL8" t="e">
        <f>IF('Listado General'!#REF!,"AAAAAG+f68E=",0)</f>
        <v>#REF!</v>
      </c>
      <c r="GM8" t="e">
        <f>AND('Listado General'!#REF!,"AAAAAG+f68I=")</f>
        <v>#REF!</v>
      </c>
      <c r="GN8" t="e">
        <f>AND('Listado General'!#REF!,"AAAAAG+f68M=")</f>
        <v>#REF!</v>
      </c>
      <c r="GO8" t="e">
        <f>AND('Listado General'!#REF!,"AAAAAG+f68Q=")</f>
        <v>#REF!</v>
      </c>
      <c r="GP8" t="e">
        <f>AND('Listado General'!#REF!,"AAAAAG+f68U=")</f>
        <v>#REF!</v>
      </c>
      <c r="GQ8" t="e">
        <f>AND('Listado General'!#REF!,"AAAAAG+f68Y=")</f>
        <v>#REF!</v>
      </c>
      <c r="GR8" t="e">
        <f>AND('Listado General'!#REF!,"AAAAAG+f68c=")</f>
        <v>#REF!</v>
      </c>
      <c r="GS8" t="e">
        <f>AND('Listado General'!#REF!,"AAAAAG+f68g=")</f>
        <v>#REF!</v>
      </c>
      <c r="GT8" t="e">
        <f>AND('Listado General'!#REF!,"AAAAAG+f68k=")</f>
        <v>#REF!</v>
      </c>
      <c r="GU8" t="e">
        <f>AND('Listado General'!#REF!,"AAAAAG+f68o=")</f>
        <v>#REF!</v>
      </c>
      <c r="GV8" t="e">
        <f>IF('Listado General'!#REF!,"AAAAAG+f68s=",0)</f>
        <v>#REF!</v>
      </c>
      <c r="GW8" t="e">
        <f>AND('Listado General'!#REF!,"AAAAAG+f68w=")</f>
        <v>#REF!</v>
      </c>
      <c r="GX8" t="e">
        <f>AND('Listado General'!#REF!,"AAAAAG+f680=")</f>
        <v>#REF!</v>
      </c>
      <c r="GY8" t="e">
        <f>AND('Listado General'!#REF!,"AAAAAG+f684=")</f>
        <v>#REF!</v>
      </c>
      <c r="GZ8" t="e">
        <f>AND('Listado General'!#REF!,"AAAAAG+f688=")</f>
        <v>#REF!</v>
      </c>
      <c r="HA8" t="e">
        <f>AND('Listado General'!#REF!,"AAAAAG+f69A=")</f>
        <v>#REF!</v>
      </c>
      <c r="HB8" t="e">
        <f>AND('Listado General'!#REF!,"AAAAAG+f69E=")</f>
        <v>#REF!</v>
      </c>
      <c r="HC8" t="e">
        <f>AND('Listado General'!#REF!,"AAAAAG+f69I=")</f>
        <v>#REF!</v>
      </c>
      <c r="HD8" t="e">
        <f>AND('Listado General'!#REF!,"AAAAAG+f69M=")</f>
        <v>#REF!</v>
      </c>
      <c r="HE8" t="e">
        <f>AND('Listado General'!#REF!,"AAAAAG+f69Q=")</f>
        <v>#REF!</v>
      </c>
      <c r="HF8" t="e">
        <f>IF('Listado General'!#REF!,"AAAAAG+f69U=",0)</f>
        <v>#REF!</v>
      </c>
      <c r="HG8" t="e">
        <f>AND('Listado General'!#REF!,"AAAAAG+f69Y=")</f>
        <v>#REF!</v>
      </c>
      <c r="HH8" t="e">
        <f>AND('Listado General'!#REF!,"AAAAAG+f69c=")</f>
        <v>#REF!</v>
      </c>
      <c r="HI8" t="e">
        <f>AND('Listado General'!#REF!,"AAAAAG+f69g=")</f>
        <v>#REF!</v>
      </c>
      <c r="HJ8" t="e">
        <f>AND('Listado General'!#REF!,"AAAAAG+f69k=")</f>
        <v>#REF!</v>
      </c>
      <c r="HK8" t="e">
        <f>AND('Listado General'!#REF!,"AAAAAG+f69o=")</f>
        <v>#REF!</v>
      </c>
      <c r="HL8" t="e">
        <f>AND('Listado General'!#REF!,"AAAAAG+f69s=")</f>
        <v>#REF!</v>
      </c>
      <c r="HM8" t="e">
        <f>AND('Listado General'!#REF!,"AAAAAG+f69w=")</f>
        <v>#REF!</v>
      </c>
      <c r="HN8" t="e">
        <f>AND('Listado General'!#REF!,"AAAAAG+f690=")</f>
        <v>#REF!</v>
      </c>
      <c r="HO8" t="e">
        <f>AND('Listado General'!#REF!,"AAAAAG+f694=")</f>
        <v>#REF!</v>
      </c>
      <c r="HP8" t="e">
        <f>IF('Listado General'!#REF!,"AAAAAG+f698=",0)</f>
        <v>#REF!</v>
      </c>
      <c r="HQ8" t="e">
        <f>AND('Listado General'!#REF!,"AAAAAG+f6+A=")</f>
        <v>#REF!</v>
      </c>
      <c r="HR8" t="e">
        <f>AND('Listado General'!#REF!,"AAAAAG+f6+E=")</f>
        <v>#REF!</v>
      </c>
      <c r="HS8" t="e">
        <f>AND('Listado General'!#REF!,"AAAAAG+f6+I=")</f>
        <v>#REF!</v>
      </c>
      <c r="HT8" t="e">
        <f>AND('Listado General'!#REF!,"AAAAAG+f6+M=")</f>
        <v>#REF!</v>
      </c>
      <c r="HU8" t="e">
        <f>AND('Listado General'!#REF!,"AAAAAG+f6+Q=")</f>
        <v>#REF!</v>
      </c>
      <c r="HV8" t="e">
        <f>AND('Listado General'!#REF!,"AAAAAG+f6+U=")</f>
        <v>#REF!</v>
      </c>
      <c r="HW8" t="e">
        <f>AND('Listado General'!#REF!,"AAAAAG+f6+Y=")</f>
        <v>#REF!</v>
      </c>
      <c r="HX8" t="e">
        <f>AND('Listado General'!#REF!,"AAAAAG+f6+c=")</f>
        <v>#REF!</v>
      </c>
      <c r="HY8" t="e">
        <f>AND('Listado General'!#REF!,"AAAAAG+f6+g=")</f>
        <v>#REF!</v>
      </c>
      <c r="HZ8" t="e">
        <f>IF('Listado General'!#REF!,"AAAAAG+f6+k=",0)</f>
        <v>#REF!</v>
      </c>
      <c r="IA8" t="e">
        <f>AND('Listado General'!#REF!,"AAAAAG+f6+o=")</f>
        <v>#REF!</v>
      </c>
      <c r="IB8" t="e">
        <f>AND('Listado General'!#REF!,"AAAAAG+f6+s=")</f>
        <v>#REF!</v>
      </c>
      <c r="IC8" t="e">
        <f>AND('Listado General'!#REF!,"AAAAAG+f6+w=")</f>
        <v>#REF!</v>
      </c>
      <c r="ID8" t="e">
        <f>AND('Listado General'!#REF!,"AAAAAG+f6+0=")</f>
        <v>#REF!</v>
      </c>
      <c r="IE8" t="e">
        <f>AND('Listado General'!#REF!,"AAAAAG+f6+4=")</f>
        <v>#REF!</v>
      </c>
      <c r="IF8" t="e">
        <f>AND('Listado General'!#REF!,"AAAAAG+f6+8=")</f>
        <v>#REF!</v>
      </c>
      <c r="IG8" t="e">
        <f>AND('Listado General'!#REF!,"AAAAAG+f6/A=")</f>
        <v>#REF!</v>
      </c>
      <c r="IH8" t="e">
        <f>AND('Listado General'!#REF!,"AAAAAG+f6/E=")</f>
        <v>#REF!</v>
      </c>
      <c r="II8" t="e">
        <f>AND('Listado General'!#REF!,"AAAAAG+f6/I=")</f>
        <v>#REF!</v>
      </c>
      <c r="IJ8" t="e">
        <f>IF('Listado General'!#REF!,"AAAAAG+f6/M=",0)</f>
        <v>#REF!</v>
      </c>
      <c r="IK8" t="e">
        <f>AND('Listado General'!#REF!,"AAAAAG+f6/Q=")</f>
        <v>#REF!</v>
      </c>
      <c r="IL8" t="e">
        <f>AND('Listado General'!#REF!,"AAAAAG+f6/U=")</f>
        <v>#REF!</v>
      </c>
      <c r="IM8" t="e">
        <f>AND('Listado General'!#REF!,"AAAAAG+f6/Y=")</f>
        <v>#REF!</v>
      </c>
      <c r="IN8" t="e">
        <f>AND('Listado General'!#REF!,"AAAAAG+f6/c=")</f>
        <v>#REF!</v>
      </c>
      <c r="IO8" t="e">
        <f>AND('Listado General'!#REF!,"AAAAAG+f6/g=")</f>
        <v>#REF!</v>
      </c>
      <c r="IP8" t="e">
        <f>AND('Listado General'!#REF!,"AAAAAG+f6/k=")</f>
        <v>#REF!</v>
      </c>
      <c r="IQ8" t="e">
        <f>AND('Listado General'!#REF!,"AAAAAG+f6/o=")</f>
        <v>#REF!</v>
      </c>
      <c r="IR8" t="e">
        <f>AND('Listado General'!#REF!,"AAAAAG+f6/s=")</f>
        <v>#REF!</v>
      </c>
      <c r="IS8" t="e">
        <f>AND('Listado General'!#REF!,"AAAAAG+f6/w=")</f>
        <v>#REF!</v>
      </c>
      <c r="IT8" t="e">
        <f>IF('Listado General'!#REF!,"AAAAAG+f6/0=",0)</f>
        <v>#REF!</v>
      </c>
      <c r="IU8" t="e">
        <f>AND('Listado General'!#REF!,"AAAAAG+f6/4=")</f>
        <v>#REF!</v>
      </c>
      <c r="IV8" t="e">
        <f>AND('Listado General'!#REF!,"AAAAAG+f6/8=")</f>
        <v>#REF!</v>
      </c>
    </row>
    <row r="9" spans="1:256" ht="12.75">
      <c r="A9" t="e">
        <f>AND('Listado General'!#REF!,"AAAAAG9H2gA=")</f>
        <v>#REF!</v>
      </c>
      <c r="B9" t="e">
        <f>AND('Listado General'!#REF!,"AAAAAG9H2gE=")</f>
        <v>#REF!</v>
      </c>
      <c r="C9" t="e">
        <f>AND('Listado General'!#REF!,"AAAAAG9H2gI=")</f>
        <v>#REF!</v>
      </c>
      <c r="D9" t="e">
        <f>AND('Listado General'!#REF!,"AAAAAG9H2gM=")</f>
        <v>#REF!</v>
      </c>
      <c r="E9" t="e">
        <f>AND('Listado General'!#REF!,"AAAAAG9H2gQ=")</f>
        <v>#REF!</v>
      </c>
      <c r="F9" t="e">
        <f>AND('Listado General'!#REF!,"AAAAAG9H2gU=")</f>
        <v>#REF!</v>
      </c>
      <c r="G9" t="e">
        <f>AND('Listado General'!#REF!,"AAAAAG9H2gY=")</f>
        <v>#REF!</v>
      </c>
      <c r="H9" t="e">
        <f>IF('Listado General'!#REF!,"AAAAAG9H2gc=",0)</f>
        <v>#REF!</v>
      </c>
      <c r="I9" t="e">
        <f>AND('Listado General'!#REF!,"AAAAAG9H2gg=")</f>
        <v>#REF!</v>
      </c>
      <c r="J9" t="e">
        <f>AND('Listado General'!#REF!,"AAAAAG9H2gk=")</f>
        <v>#REF!</v>
      </c>
      <c r="K9" t="e">
        <f>AND('Listado General'!#REF!,"AAAAAG9H2go=")</f>
        <v>#REF!</v>
      </c>
      <c r="L9" t="e">
        <f>AND('Listado General'!#REF!,"AAAAAG9H2gs=")</f>
        <v>#REF!</v>
      </c>
      <c r="M9" t="e">
        <f>AND('Listado General'!#REF!,"AAAAAG9H2gw=")</f>
        <v>#REF!</v>
      </c>
      <c r="N9" t="e">
        <f>AND('Listado General'!#REF!,"AAAAAG9H2g0=")</f>
        <v>#REF!</v>
      </c>
      <c r="O9" t="e">
        <f>AND('Listado General'!#REF!,"AAAAAG9H2g4=")</f>
        <v>#REF!</v>
      </c>
      <c r="P9" t="e">
        <f>AND('Listado General'!#REF!,"AAAAAG9H2g8=")</f>
        <v>#REF!</v>
      </c>
      <c r="Q9" t="e">
        <f>AND('Listado General'!#REF!,"AAAAAG9H2hA=")</f>
        <v>#REF!</v>
      </c>
      <c r="R9" t="e">
        <f>IF('Listado General'!#REF!,"AAAAAG9H2hE=",0)</f>
        <v>#REF!</v>
      </c>
      <c r="S9" t="e">
        <f>AND('Listado General'!#REF!,"AAAAAG9H2hI=")</f>
        <v>#REF!</v>
      </c>
      <c r="T9" t="e">
        <f>AND('Listado General'!#REF!,"AAAAAG9H2hM=")</f>
        <v>#REF!</v>
      </c>
      <c r="U9" t="e">
        <f>AND('Listado General'!#REF!,"AAAAAG9H2hQ=")</f>
        <v>#REF!</v>
      </c>
      <c r="V9" t="e">
        <f>AND('Listado General'!#REF!,"AAAAAG9H2hU=")</f>
        <v>#REF!</v>
      </c>
      <c r="W9" t="e">
        <f>AND('Listado General'!#REF!,"AAAAAG9H2hY=")</f>
        <v>#REF!</v>
      </c>
      <c r="X9" t="e">
        <f>AND('Listado General'!#REF!,"AAAAAG9H2hc=")</f>
        <v>#REF!</v>
      </c>
      <c r="Y9" t="e">
        <f>AND('Listado General'!#REF!,"AAAAAG9H2hg=")</f>
        <v>#REF!</v>
      </c>
      <c r="Z9" t="e">
        <f>AND('Listado General'!#REF!,"AAAAAG9H2hk=")</f>
        <v>#REF!</v>
      </c>
      <c r="AA9" t="e">
        <f>AND('Listado General'!#REF!,"AAAAAG9H2ho=")</f>
        <v>#REF!</v>
      </c>
      <c r="AB9" t="e">
        <f>IF('Listado General'!#REF!,"AAAAAG9H2hs=",0)</f>
        <v>#REF!</v>
      </c>
      <c r="AC9" t="e">
        <f>AND('Listado General'!#REF!,"AAAAAG9H2hw=")</f>
        <v>#REF!</v>
      </c>
      <c r="AD9" t="e">
        <f>AND('Listado General'!#REF!,"AAAAAG9H2h0=")</f>
        <v>#REF!</v>
      </c>
      <c r="AE9" t="e">
        <f>AND('Listado General'!#REF!,"AAAAAG9H2h4=")</f>
        <v>#REF!</v>
      </c>
      <c r="AF9" t="e">
        <f>AND('Listado General'!#REF!,"AAAAAG9H2h8=")</f>
        <v>#REF!</v>
      </c>
      <c r="AG9" t="e">
        <f>AND('Listado General'!#REF!,"AAAAAG9H2iA=")</f>
        <v>#REF!</v>
      </c>
      <c r="AH9" t="e">
        <f>AND('Listado General'!#REF!,"AAAAAG9H2iE=")</f>
        <v>#REF!</v>
      </c>
      <c r="AI9" t="e">
        <f>AND('Listado General'!#REF!,"AAAAAG9H2iI=")</f>
        <v>#REF!</v>
      </c>
      <c r="AJ9" t="e">
        <f>AND('Listado General'!#REF!,"AAAAAG9H2iM=")</f>
        <v>#REF!</v>
      </c>
      <c r="AK9" t="e">
        <f>AND('Listado General'!#REF!,"AAAAAG9H2iQ=")</f>
        <v>#REF!</v>
      </c>
      <c r="AL9" t="e">
        <f>IF('Listado General'!#REF!,"AAAAAG9H2iU=",0)</f>
        <v>#REF!</v>
      </c>
      <c r="AM9" t="e">
        <f>AND('Listado General'!#REF!,"AAAAAG9H2iY=")</f>
        <v>#REF!</v>
      </c>
      <c r="AN9" t="e">
        <f>AND('Listado General'!#REF!,"AAAAAG9H2ic=")</f>
        <v>#REF!</v>
      </c>
      <c r="AO9" t="e">
        <f>AND('Listado General'!#REF!,"AAAAAG9H2ig=")</f>
        <v>#REF!</v>
      </c>
      <c r="AP9" t="e">
        <f>AND('Listado General'!#REF!,"AAAAAG9H2ik=")</f>
        <v>#REF!</v>
      </c>
      <c r="AQ9" t="e">
        <f>AND('Listado General'!#REF!,"AAAAAG9H2io=")</f>
        <v>#REF!</v>
      </c>
      <c r="AR9" t="e">
        <f>AND('Listado General'!#REF!,"AAAAAG9H2is=")</f>
        <v>#REF!</v>
      </c>
      <c r="AS9" t="e">
        <f>AND('Listado General'!#REF!,"AAAAAG9H2iw=")</f>
        <v>#REF!</v>
      </c>
      <c r="AT9" t="e">
        <f>AND('Listado General'!#REF!,"AAAAAG9H2i0=")</f>
        <v>#REF!</v>
      </c>
      <c r="AU9" t="e">
        <f>AND('Listado General'!#REF!,"AAAAAG9H2i4=")</f>
        <v>#REF!</v>
      </c>
      <c r="AV9" t="e">
        <f>IF('Listado General'!#REF!,"AAAAAG9H2i8=",0)</f>
        <v>#REF!</v>
      </c>
      <c r="AW9" t="e">
        <f>AND('Listado General'!#REF!,"AAAAAG9H2jA=")</f>
        <v>#REF!</v>
      </c>
      <c r="AX9" t="e">
        <f>AND('Listado General'!#REF!,"AAAAAG9H2jE=")</f>
        <v>#REF!</v>
      </c>
      <c r="AY9" t="e">
        <f>AND('Listado General'!#REF!,"AAAAAG9H2jI=")</f>
        <v>#REF!</v>
      </c>
      <c r="AZ9" t="e">
        <f>AND('Listado General'!#REF!,"AAAAAG9H2jM=")</f>
        <v>#REF!</v>
      </c>
      <c r="BA9" t="e">
        <f>AND('Listado General'!#REF!,"AAAAAG9H2jQ=")</f>
        <v>#REF!</v>
      </c>
      <c r="BB9" t="e">
        <f>AND('Listado General'!#REF!,"AAAAAG9H2jU=")</f>
        <v>#REF!</v>
      </c>
      <c r="BC9" t="e">
        <f>AND('Listado General'!#REF!,"AAAAAG9H2jY=")</f>
        <v>#REF!</v>
      </c>
      <c r="BD9" t="e">
        <f>AND('Listado General'!#REF!,"AAAAAG9H2jc=")</f>
        <v>#REF!</v>
      </c>
      <c r="BE9" t="e">
        <f>AND('Listado General'!#REF!,"AAAAAG9H2jg=")</f>
        <v>#REF!</v>
      </c>
      <c r="BF9" t="e">
        <f>IF('Listado General'!#REF!,"AAAAAG9H2jk=",0)</f>
        <v>#REF!</v>
      </c>
      <c r="BG9" t="e">
        <f>AND('Listado General'!#REF!,"AAAAAG9H2jo=")</f>
        <v>#REF!</v>
      </c>
      <c r="BH9" t="e">
        <f>AND('Listado General'!#REF!,"AAAAAG9H2js=")</f>
        <v>#REF!</v>
      </c>
      <c r="BI9" t="e">
        <f>AND('Listado General'!#REF!,"AAAAAG9H2jw=")</f>
        <v>#REF!</v>
      </c>
      <c r="BJ9" t="e">
        <f>AND('Listado General'!#REF!,"AAAAAG9H2j0=")</f>
        <v>#REF!</v>
      </c>
      <c r="BK9" t="e">
        <f>AND('Listado General'!#REF!,"AAAAAG9H2j4=")</f>
        <v>#REF!</v>
      </c>
      <c r="BL9" t="e">
        <f>AND('Listado General'!#REF!,"AAAAAG9H2j8=")</f>
        <v>#REF!</v>
      </c>
      <c r="BM9" t="e">
        <f>AND('Listado General'!#REF!,"AAAAAG9H2kA=")</f>
        <v>#REF!</v>
      </c>
      <c r="BN9" t="e">
        <f>AND('Listado General'!#REF!,"AAAAAG9H2kE=")</f>
        <v>#REF!</v>
      </c>
      <c r="BO9" t="e">
        <f>AND('Listado General'!#REF!,"AAAAAG9H2kI=")</f>
        <v>#REF!</v>
      </c>
      <c r="BP9" t="e">
        <f>IF('Listado General'!#REF!,"AAAAAG9H2kM=",0)</f>
        <v>#REF!</v>
      </c>
      <c r="BQ9" t="e">
        <f>AND('Listado General'!#REF!,"AAAAAG9H2kQ=")</f>
        <v>#REF!</v>
      </c>
      <c r="BR9" t="e">
        <f>AND('Listado General'!#REF!,"AAAAAG9H2kU=")</f>
        <v>#REF!</v>
      </c>
      <c r="BS9" t="e">
        <f>AND('Listado General'!#REF!,"AAAAAG9H2kY=")</f>
        <v>#REF!</v>
      </c>
      <c r="BT9" t="e">
        <f>AND('Listado General'!#REF!,"AAAAAG9H2kc=")</f>
        <v>#REF!</v>
      </c>
      <c r="BU9" t="e">
        <f>AND('Listado General'!#REF!,"AAAAAG9H2kg=")</f>
        <v>#REF!</v>
      </c>
      <c r="BV9" t="e">
        <f>AND('Listado General'!#REF!,"AAAAAG9H2kk=")</f>
        <v>#REF!</v>
      </c>
      <c r="BW9" t="e">
        <f>AND('Listado General'!#REF!,"AAAAAG9H2ko=")</f>
        <v>#REF!</v>
      </c>
      <c r="BX9" t="e">
        <f>AND('Listado General'!#REF!,"AAAAAG9H2ks=")</f>
        <v>#REF!</v>
      </c>
      <c r="BY9" t="e">
        <f>AND('Listado General'!#REF!,"AAAAAG9H2kw=")</f>
        <v>#REF!</v>
      </c>
      <c r="BZ9" t="e">
        <f>IF('Listado General'!#REF!,"AAAAAG9H2k0=",0)</f>
        <v>#REF!</v>
      </c>
      <c r="CA9" t="e">
        <f>AND('Listado General'!#REF!,"AAAAAG9H2k4=")</f>
        <v>#REF!</v>
      </c>
      <c r="CB9" t="e">
        <f>AND('Listado General'!#REF!,"AAAAAG9H2k8=")</f>
        <v>#REF!</v>
      </c>
      <c r="CC9" t="e">
        <f>AND('Listado General'!#REF!,"AAAAAG9H2lA=")</f>
        <v>#REF!</v>
      </c>
      <c r="CD9" t="e">
        <f>AND('Listado General'!#REF!,"AAAAAG9H2lE=")</f>
        <v>#REF!</v>
      </c>
      <c r="CE9" t="e">
        <f>AND('Listado General'!#REF!,"AAAAAG9H2lI=")</f>
        <v>#REF!</v>
      </c>
      <c r="CF9" t="e">
        <f>AND('Listado General'!#REF!,"AAAAAG9H2lM=")</f>
        <v>#REF!</v>
      </c>
      <c r="CG9" t="e">
        <f>AND('Listado General'!#REF!,"AAAAAG9H2lQ=")</f>
        <v>#REF!</v>
      </c>
      <c r="CH9" t="e">
        <f>AND('Listado General'!#REF!,"AAAAAG9H2lU=")</f>
        <v>#REF!</v>
      </c>
      <c r="CI9" t="e">
        <f>AND('Listado General'!#REF!,"AAAAAG9H2lY=")</f>
        <v>#REF!</v>
      </c>
      <c r="CJ9" t="e">
        <f>IF('Listado General'!#REF!,"AAAAAG9H2lc=",0)</f>
        <v>#REF!</v>
      </c>
      <c r="CK9" t="e">
        <f>AND('Listado General'!#REF!,"AAAAAG9H2lg=")</f>
        <v>#REF!</v>
      </c>
      <c r="CL9" t="e">
        <f>AND('Listado General'!#REF!,"AAAAAG9H2lk=")</f>
        <v>#REF!</v>
      </c>
      <c r="CM9" t="e">
        <f>AND('Listado General'!#REF!,"AAAAAG9H2lo=")</f>
        <v>#REF!</v>
      </c>
      <c r="CN9" t="e">
        <f>AND('Listado General'!#REF!,"AAAAAG9H2ls=")</f>
        <v>#REF!</v>
      </c>
      <c r="CO9" t="e">
        <f>AND('Listado General'!#REF!,"AAAAAG9H2lw=")</f>
        <v>#REF!</v>
      </c>
      <c r="CP9" t="e">
        <f>AND('Listado General'!#REF!,"AAAAAG9H2l0=")</f>
        <v>#REF!</v>
      </c>
      <c r="CQ9" t="e">
        <f>AND('Listado General'!#REF!,"AAAAAG9H2l4=")</f>
        <v>#REF!</v>
      </c>
      <c r="CR9" t="e">
        <f>AND('Listado General'!#REF!,"AAAAAG9H2l8=")</f>
        <v>#REF!</v>
      </c>
      <c r="CS9" t="e">
        <f>AND('Listado General'!#REF!,"AAAAAG9H2mA=")</f>
        <v>#REF!</v>
      </c>
      <c r="CT9" t="e">
        <f>IF('Listado General'!#REF!,"AAAAAG9H2mE=",0)</f>
        <v>#REF!</v>
      </c>
      <c r="CU9" t="e">
        <f>AND('Listado General'!#REF!,"AAAAAG9H2mI=")</f>
        <v>#REF!</v>
      </c>
      <c r="CV9" t="e">
        <f>AND('Listado General'!#REF!,"AAAAAG9H2mM=")</f>
        <v>#REF!</v>
      </c>
      <c r="CW9" t="e">
        <f>AND('Listado General'!#REF!,"AAAAAG9H2mQ=")</f>
        <v>#REF!</v>
      </c>
      <c r="CX9" t="e">
        <f>AND('Listado General'!#REF!,"AAAAAG9H2mU=")</f>
        <v>#REF!</v>
      </c>
      <c r="CY9" t="e">
        <f>AND('Listado General'!#REF!,"AAAAAG9H2mY=")</f>
        <v>#REF!</v>
      </c>
      <c r="CZ9" t="e">
        <f>AND('Listado General'!#REF!,"AAAAAG9H2mc=")</f>
        <v>#REF!</v>
      </c>
      <c r="DA9" t="e">
        <f>AND('Listado General'!#REF!,"AAAAAG9H2mg=")</f>
        <v>#REF!</v>
      </c>
      <c r="DB9" t="e">
        <f>AND('Listado General'!#REF!,"AAAAAG9H2mk=")</f>
        <v>#REF!</v>
      </c>
      <c r="DC9" t="e">
        <f>AND('Listado General'!#REF!,"AAAAAG9H2mo=")</f>
        <v>#REF!</v>
      </c>
      <c r="DD9" t="e">
        <f>IF('Listado General'!#REF!,"AAAAAG9H2ms=",0)</f>
        <v>#REF!</v>
      </c>
      <c r="DE9" t="e">
        <f>AND('Listado General'!#REF!,"AAAAAG9H2mw=")</f>
        <v>#REF!</v>
      </c>
      <c r="DF9" t="e">
        <f>AND('Listado General'!#REF!,"AAAAAG9H2m0=")</f>
        <v>#REF!</v>
      </c>
      <c r="DG9" t="e">
        <f>AND('Listado General'!#REF!,"AAAAAG9H2m4=")</f>
        <v>#REF!</v>
      </c>
      <c r="DH9" t="e">
        <f>AND('Listado General'!#REF!,"AAAAAG9H2m8=")</f>
        <v>#REF!</v>
      </c>
      <c r="DI9" t="e">
        <f>AND('Listado General'!#REF!,"AAAAAG9H2nA=")</f>
        <v>#REF!</v>
      </c>
      <c r="DJ9" t="e">
        <f>AND('Listado General'!#REF!,"AAAAAG9H2nE=")</f>
        <v>#REF!</v>
      </c>
      <c r="DK9" t="e">
        <f>AND('Listado General'!#REF!,"AAAAAG9H2nI=")</f>
        <v>#REF!</v>
      </c>
      <c r="DL9" t="e">
        <f>AND('Listado General'!#REF!,"AAAAAG9H2nM=")</f>
        <v>#REF!</v>
      </c>
      <c r="DM9" t="e">
        <f>AND('Listado General'!#REF!,"AAAAAG9H2nQ=")</f>
        <v>#REF!</v>
      </c>
      <c r="DN9" t="e">
        <f>IF('Listado General'!#REF!,"AAAAAG9H2nU=",0)</f>
        <v>#REF!</v>
      </c>
      <c r="DO9" t="e">
        <f>AND('Listado General'!#REF!,"AAAAAG9H2nY=")</f>
        <v>#REF!</v>
      </c>
      <c r="DP9" t="e">
        <f>AND('Listado General'!#REF!,"AAAAAG9H2nc=")</f>
        <v>#REF!</v>
      </c>
      <c r="DQ9" t="e">
        <f>AND('Listado General'!#REF!,"AAAAAG9H2ng=")</f>
        <v>#REF!</v>
      </c>
      <c r="DR9" t="e">
        <f>AND('Listado General'!#REF!,"AAAAAG9H2nk=")</f>
        <v>#REF!</v>
      </c>
      <c r="DS9" t="e">
        <f>AND('Listado General'!#REF!,"AAAAAG9H2no=")</f>
        <v>#REF!</v>
      </c>
      <c r="DT9" t="e">
        <f>AND('Listado General'!#REF!,"AAAAAG9H2ns=")</f>
        <v>#REF!</v>
      </c>
      <c r="DU9" t="e">
        <f>AND('Listado General'!#REF!,"AAAAAG9H2nw=")</f>
        <v>#REF!</v>
      </c>
      <c r="DV9" t="e">
        <f>AND('Listado General'!#REF!,"AAAAAG9H2n0=")</f>
        <v>#REF!</v>
      </c>
      <c r="DW9" t="e">
        <f>AND('Listado General'!#REF!,"AAAAAG9H2n4=")</f>
        <v>#REF!</v>
      </c>
      <c r="DX9" t="e">
        <f>IF('Listado General'!#REF!,"AAAAAG9H2n8=",0)</f>
        <v>#REF!</v>
      </c>
      <c r="DY9" t="e">
        <f>AND('Listado General'!#REF!,"AAAAAG9H2oA=")</f>
        <v>#REF!</v>
      </c>
      <c r="DZ9" t="e">
        <f>AND('Listado General'!#REF!,"AAAAAG9H2oE=")</f>
        <v>#REF!</v>
      </c>
      <c r="EA9" t="e">
        <f>AND('Listado General'!#REF!,"AAAAAG9H2oI=")</f>
        <v>#REF!</v>
      </c>
      <c r="EB9" t="e">
        <f>AND('Listado General'!#REF!,"AAAAAG9H2oM=")</f>
        <v>#REF!</v>
      </c>
      <c r="EC9" t="e">
        <f>AND('Listado General'!#REF!,"AAAAAG9H2oQ=")</f>
        <v>#REF!</v>
      </c>
      <c r="ED9" t="e">
        <f>AND('Listado General'!#REF!,"AAAAAG9H2oU=")</f>
        <v>#REF!</v>
      </c>
      <c r="EE9" t="e">
        <f>AND('Listado General'!#REF!,"AAAAAG9H2oY=")</f>
        <v>#REF!</v>
      </c>
      <c r="EF9" t="e">
        <f>AND('Listado General'!#REF!,"AAAAAG9H2oc=")</f>
        <v>#REF!</v>
      </c>
      <c r="EG9" t="e">
        <f>AND('Listado General'!#REF!,"AAAAAG9H2og=")</f>
        <v>#REF!</v>
      </c>
      <c r="EH9" t="e">
        <f>IF('Listado General'!#REF!,"AAAAAG9H2ok=",0)</f>
        <v>#REF!</v>
      </c>
      <c r="EI9" t="e">
        <f>AND('Listado General'!#REF!,"AAAAAG9H2oo=")</f>
        <v>#REF!</v>
      </c>
      <c r="EJ9" t="e">
        <f>AND('Listado General'!#REF!,"AAAAAG9H2os=")</f>
        <v>#REF!</v>
      </c>
      <c r="EK9" t="e">
        <f>AND('Listado General'!#REF!,"AAAAAG9H2ow=")</f>
        <v>#REF!</v>
      </c>
      <c r="EL9" t="e">
        <f>AND('Listado General'!#REF!,"AAAAAG9H2o0=")</f>
        <v>#REF!</v>
      </c>
      <c r="EM9" t="e">
        <f>AND('Listado General'!#REF!,"AAAAAG9H2o4=")</f>
        <v>#REF!</v>
      </c>
      <c r="EN9" t="e">
        <f>AND('Listado General'!#REF!,"AAAAAG9H2o8=")</f>
        <v>#REF!</v>
      </c>
      <c r="EO9" t="e">
        <f>AND('Listado General'!#REF!,"AAAAAG9H2pA=")</f>
        <v>#REF!</v>
      </c>
      <c r="EP9" t="e">
        <f>AND('Listado General'!#REF!,"AAAAAG9H2pE=")</f>
        <v>#REF!</v>
      </c>
      <c r="EQ9" t="e">
        <f>AND('Listado General'!#REF!,"AAAAAG9H2pI=")</f>
        <v>#REF!</v>
      </c>
      <c r="ER9" t="e">
        <f>IF('Listado General'!#REF!,"AAAAAG9H2pM=",0)</f>
        <v>#REF!</v>
      </c>
      <c r="ES9" t="e">
        <f>AND('Listado General'!#REF!,"AAAAAG9H2pQ=")</f>
        <v>#REF!</v>
      </c>
      <c r="ET9" t="e">
        <f>AND('Listado General'!#REF!,"AAAAAG9H2pU=")</f>
        <v>#REF!</v>
      </c>
      <c r="EU9" t="e">
        <f>AND('Listado General'!#REF!,"AAAAAG9H2pY=")</f>
        <v>#REF!</v>
      </c>
      <c r="EV9" t="e">
        <f>AND('Listado General'!#REF!,"AAAAAG9H2pc=")</f>
        <v>#REF!</v>
      </c>
      <c r="EW9" t="e">
        <f>AND('Listado General'!#REF!,"AAAAAG9H2pg=")</f>
        <v>#REF!</v>
      </c>
      <c r="EX9" t="e">
        <f>AND('Listado General'!#REF!,"AAAAAG9H2pk=")</f>
        <v>#REF!</v>
      </c>
      <c r="EY9" t="e">
        <f>AND('Listado General'!#REF!,"AAAAAG9H2po=")</f>
        <v>#REF!</v>
      </c>
      <c r="EZ9" t="e">
        <f>AND('Listado General'!#REF!,"AAAAAG9H2ps=")</f>
        <v>#REF!</v>
      </c>
      <c r="FA9" t="e">
        <f>AND('Listado General'!#REF!,"AAAAAG9H2pw=")</f>
        <v>#REF!</v>
      </c>
      <c r="FB9" t="e">
        <f>IF('Listado General'!#REF!,"AAAAAG9H2p0=",0)</f>
        <v>#REF!</v>
      </c>
      <c r="FC9" t="e">
        <f>AND('Listado General'!#REF!,"AAAAAG9H2p4=")</f>
        <v>#REF!</v>
      </c>
      <c r="FD9" t="e">
        <f>AND('Listado General'!#REF!,"AAAAAG9H2p8=")</f>
        <v>#REF!</v>
      </c>
      <c r="FE9" t="e">
        <f>AND('Listado General'!#REF!,"AAAAAG9H2qA=")</f>
        <v>#REF!</v>
      </c>
      <c r="FF9" t="e">
        <f>AND('Listado General'!#REF!,"AAAAAG9H2qE=")</f>
        <v>#REF!</v>
      </c>
      <c r="FG9" t="e">
        <f>AND('Listado General'!#REF!,"AAAAAG9H2qI=")</f>
        <v>#REF!</v>
      </c>
      <c r="FH9" t="e">
        <f>AND('Listado General'!#REF!,"AAAAAG9H2qM=")</f>
        <v>#REF!</v>
      </c>
      <c r="FI9" t="e">
        <f>AND('Listado General'!#REF!,"AAAAAG9H2qQ=")</f>
        <v>#REF!</v>
      </c>
      <c r="FJ9" t="e">
        <f>AND('Listado General'!#REF!,"AAAAAG9H2qU=")</f>
        <v>#REF!</v>
      </c>
      <c r="FK9" t="e">
        <f>AND('Listado General'!#REF!,"AAAAAG9H2qY=")</f>
        <v>#REF!</v>
      </c>
      <c r="FL9" t="e">
        <f>IF('Listado General'!#REF!,"AAAAAG9H2qc=",0)</f>
        <v>#REF!</v>
      </c>
      <c r="FM9" t="e">
        <f>AND('Listado General'!#REF!,"AAAAAG9H2qg=")</f>
        <v>#REF!</v>
      </c>
      <c r="FN9" t="e">
        <f>AND('Listado General'!#REF!,"AAAAAG9H2qk=")</f>
        <v>#REF!</v>
      </c>
      <c r="FO9" t="e">
        <f>AND('Listado General'!#REF!,"AAAAAG9H2qo=")</f>
        <v>#REF!</v>
      </c>
      <c r="FP9" t="e">
        <f>AND('Listado General'!#REF!,"AAAAAG9H2qs=")</f>
        <v>#REF!</v>
      </c>
      <c r="FQ9" t="e">
        <f>AND('Listado General'!#REF!,"AAAAAG9H2qw=")</f>
        <v>#REF!</v>
      </c>
      <c r="FR9" t="e">
        <f>AND('Listado General'!#REF!,"AAAAAG9H2q0=")</f>
        <v>#REF!</v>
      </c>
      <c r="FS9" t="e">
        <f>AND('Listado General'!#REF!,"AAAAAG9H2q4=")</f>
        <v>#REF!</v>
      </c>
      <c r="FT9" t="e">
        <f>AND('Listado General'!#REF!,"AAAAAG9H2q8=")</f>
        <v>#REF!</v>
      </c>
      <c r="FU9" t="e">
        <f>AND('Listado General'!#REF!,"AAAAAG9H2rA=")</f>
        <v>#REF!</v>
      </c>
      <c r="FV9" t="e">
        <f>IF('Listado General'!#REF!,"AAAAAG9H2rE=",0)</f>
        <v>#REF!</v>
      </c>
      <c r="FW9" t="e">
        <f>AND('Listado General'!#REF!,"AAAAAG9H2rI=")</f>
        <v>#REF!</v>
      </c>
      <c r="FX9" t="e">
        <f>AND('Listado General'!#REF!,"AAAAAG9H2rM=")</f>
        <v>#REF!</v>
      </c>
      <c r="FY9" t="e">
        <f>AND('Listado General'!#REF!,"AAAAAG9H2rQ=")</f>
        <v>#REF!</v>
      </c>
      <c r="FZ9" t="e">
        <f>AND('Listado General'!#REF!,"AAAAAG9H2rU=")</f>
        <v>#REF!</v>
      </c>
      <c r="GA9" t="e">
        <f>AND('Listado General'!#REF!,"AAAAAG9H2rY=")</f>
        <v>#REF!</v>
      </c>
      <c r="GB9" t="e">
        <f>AND('Listado General'!#REF!,"AAAAAG9H2rc=")</f>
        <v>#REF!</v>
      </c>
      <c r="GC9" t="e">
        <f>AND('Listado General'!#REF!,"AAAAAG9H2rg=")</f>
        <v>#REF!</v>
      </c>
      <c r="GD9" t="e">
        <f>AND('Listado General'!#REF!,"AAAAAG9H2rk=")</f>
        <v>#REF!</v>
      </c>
      <c r="GE9" t="e">
        <f>AND('Listado General'!#REF!,"AAAAAG9H2ro=")</f>
        <v>#REF!</v>
      </c>
      <c r="GF9" t="e">
        <f>IF('Listado General'!#REF!,"AAAAAG9H2rs=",0)</f>
        <v>#REF!</v>
      </c>
      <c r="GG9" t="e">
        <f>AND('Listado General'!#REF!,"AAAAAG9H2rw=")</f>
        <v>#REF!</v>
      </c>
      <c r="GH9" t="e">
        <f>AND('Listado General'!#REF!,"AAAAAG9H2r0=")</f>
        <v>#REF!</v>
      </c>
      <c r="GI9" t="e">
        <f>AND('Listado General'!#REF!,"AAAAAG9H2r4=")</f>
        <v>#REF!</v>
      </c>
      <c r="GJ9" t="e">
        <f>AND('Listado General'!#REF!,"AAAAAG9H2r8=")</f>
        <v>#REF!</v>
      </c>
      <c r="GK9" t="e">
        <f>AND('Listado General'!#REF!,"AAAAAG9H2sA=")</f>
        <v>#REF!</v>
      </c>
      <c r="GL9" t="e">
        <f>AND('Listado General'!#REF!,"AAAAAG9H2sE=")</f>
        <v>#REF!</v>
      </c>
      <c r="GM9" t="e">
        <f>AND('Listado General'!#REF!,"AAAAAG9H2sI=")</f>
        <v>#REF!</v>
      </c>
      <c r="GN9" t="e">
        <f>AND('Listado General'!#REF!,"AAAAAG9H2sM=")</f>
        <v>#REF!</v>
      </c>
      <c r="GO9" t="e">
        <f>AND('Listado General'!#REF!,"AAAAAG9H2sQ=")</f>
        <v>#REF!</v>
      </c>
      <c r="GP9" t="e">
        <f>IF('Listado General'!#REF!,"AAAAAG9H2sU=",0)</f>
        <v>#REF!</v>
      </c>
      <c r="GQ9" t="e">
        <f>AND('Listado General'!#REF!,"AAAAAG9H2sY=")</f>
        <v>#REF!</v>
      </c>
      <c r="GR9" t="e">
        <f>AND('Listado General'!#REF!,"AAAAAG9H2sc=")</f>
        <v>#REF!</v>
      </c>
      <c r="GS9" t="e">
        <f>AND('Listado General'!#REF!,"AAAAAG9H2sg=")</f>
        <v>#REF!</v>
      </c>
      <c r="GT9" t="e">
        <f>AND('Listado General'!#REF!,"AAAAAG9H2sk=")</f>
        <v>#REF!</v>
      </c>
      <c r="GU9" t="e">
        <f>AND('Listado General'!#REF!,"AAAAAG9H2so=")</f>
        <v>#REF!</v>
      </c>
      <c r="GV9" t="e">
        <f>AND('Listado General'!#REF!,"AAAAAG9H2ss=")</f>
        <v>#REF!</v>
      </c>
      <c r="GW9" t="e">
        <f>AND('Listado General'!#REF!,"AAAAAG9H2sw=")</f>
        <v>#REF!</v>
      </c>
      <c r="GX9" t="e">
        <f>AND('Listado General'!#REF!,"AAAAAG9H2s0=")</f>
        <v>#REF!</v>
      </c>
      <c r="GY9" t="e">
        <f>AND('Listado General'!#REF!,"AAAAAG9H2s4=")</f>
        <v>#REF!</v>
      </c>
      <c r="GZ9" t="e">
        <f>IF('Listado General'!#REF!,"AAAAAG9H2s8=",0)</f>
        <v>#REF!</v>
      </c>
      <c r="HA9" t="e">
        <f>AND('Listado General'!#REF!,"AAAAAG9H2tA=")</f>
        <v>#REF!</v>
      </c>
      <c r="HB9" t="e">
        <f>AND('Listado General'!#REF!,"AAAAAG9H2tE=")</f>
        <v>#REF!</v>
      </c>
      <c r="HC9" t="e">
        <f>AND('Listado General'!#REF!,"AAAAAG9H2tI=")</f>
        <v>#REF!</v>
      </c>
      <c r="HD9" t="e">
        <f>AND('Listado General'!#REF!,"AAAAAG9H2tM=")</f>
        <v>#REF!</v>
      </c>
      <c r="HE9" t="e">
        <f>AND('Listado General'!#REF!,"AAAAAG9H2tQ=")</f>
        <v>#REF!</v>
      </c>
      <c r="HF9" t="e">
        <f>AND('Listado General'!#REF!,"AAAAAG9H2tU=")</f>
        <v>#REF!</v>
      </c>
      <c r="HG9" t="e">
        <f>AND('Listado General'!#REF!,"AAAAAG9H2tY=")</f>
        <v>#REF!</v>
      </c>
      <c r="HH9" t="e">
        <f>AND('Listado General'!#REF!,"AAAAAG9H2tc=")</f>
        <v>#REF!</v>
      </c>
      <c r="HI9" t="e">
        <f>AND('Listado General'!#REF!,"AAAAAG9H2tg=")</f>
        <v>#REF!</v>
      </c>
      <c r="HJ9" t="e">
        <f>IF('Listado General'!#REF!,"AAAAAG9H2tk=",0)</f>
        <v>#REF!</v>
      </c>
      <c r="HK9" t="e">
        <f>AND('Listado General'!#REF!,"AAAAAG9H2to=")</f>
        <v>#REF!</v>
      </c>
      <c r="HL9" t="e">
        <f>AND('Listado General'!#REF!,"AAAAAG9H2ts=")</f>
        <v>#REF!</v>
      </c>
      <c r="HM9" t="e">
        <f>AND('Listado General'!#REF!,"AAAAAG9H2tw=")</f>
        <v>#REF!</v>
      </c>
      <c r="HN9" t="e">
        <f>AND('Listado General'!#REF!,"AAAAAG9H2t0=")</f>
        <v>#REF!</v>
      </c>
      <c r="HO9" t="e">
        <f>AND('Listado General'!#REF!,"AAAAAG9H2t4=")</f>
        <v>#REF!</v>
      </c>
      <c r="HP9" t="e">
        <f>AND('Listado General'!#REF!,"AAAAAG9H2t8=")</f>
        <v>#REF!</v>
      </c>
      <c r="HQ9" t="e">
        <f>AND('Listado General'!#REF!,"AAAAAG9H2uA=")</f>
        <v>#REF!</v>
      </c>
      <c r="HR9" t="e">
        <f>AND('Listado General'!#REF!,"AAAAAG9H2uE=")</f>
        <v>#REF!</v>
      </c>
      <c r="HS9" t="e">
        <f>AND('Listado General'!#REF!,"AAAAAG9H2uI=")</f>
        <v>#REF!</v>
      </c>
      <c r="HT9" t="e">
        <f>IF('Listado General'!#REF!,"AAAAAG9H2uM=",0)</f>
        <v>#REF!</v>
      </c>
      <c r="HU9" t="e">
        <f>AND('Listado General'!#REF!,"AAAAAG9H2uQ=")</f>
        <v>#REF!</v>
      </c>
      <c r="HV9" t="e">
        <f>AND('Listado General'!#REF!,"AAAAAG9H2uU=")</f>
        <v>#REF!</v>
      </c>
      <c r="HW9" t="e">
        <f>AND('Listado General'!#REF!,"AAAAAG9H2uY=")</f>
        <v>#REF!</v>
      </c>
      <c r="HX9" t="e">
        <f>AND('Listado General'!#REF!,"AAAAAG9H2uc=")</f>
        <v>#REF!</v>
      </c>
      <c r="HY9" t="e">
        <f>AND('Listado General'!#REF!,"AAAAAG9H2ug=")</f>
        <v>#REF!</v>
      </c>
      <c r="HZ9" t="e">
        <f>AND('Listado General'!#REF!,"AAAAAG9H2uk=")</f>
        <v>#REF!</v>
      </c>
      <c r="IA9" t="e">
        <f>AND('Listado General'!#REF!,"AAAAAG9H2uo=")</f>
        <v>#REF!</v>
      </c>
      <c r="IB9" t="e">
        <f>AND('Listado General'!#REF!,"AAAAAG9H2us=")</f>
        <v>#REF!</v>
      </c>
      <c r="IC9" t="e">
        <f>AND('Listado General'!#REF!,"AAAAAG9H2uw=")</f>
        <v>#REF!</v>
      </c>
      <c r="ID9" t="e">
        <f>IF('Listado General'!#REF!,"AAAAAG9H2u0=",0)</f>
        <v>#REF!</v>
      </c>
      <c r="IE9" t="e">
        <f>AND('Listado General'!#REF!,"AAAAAG9H2u4=")</f>
        <v>#REF!</v>
      </c>
      <c r="IF9" t="e">
        <f>AND('Listado General'!#REF!,"AAAAAG9H2u8=")</f>
        <v>#REF!</v>
      </c>
      <c r="IG9" t="e">
        <f>AND('Listado General'!#REF!,"AAAAAG9H2vA=")</f>
        <v>#REF!</v>
      </c>
      <c r="IH9" t="e">
        <f>AND('Listado General'!#REF!,"AAAAAG9H2vE=")</f>
        <v>#REF!</v>
      </c>
      <c r="II9" t="e">
        <f>AND('Listado General'!#REF!,"AAAAAG9H2vI=")</f>
        <v>#REF!</v>
      </c>
      <c r="IJ9" t="e">
        <f>AND('Listado General'!#REF!,"AAAAAG9H2vM=")</f>
        <v>#REF!</v>
      </c>
      <c r="IK9" t="e">
        <f>AND('Listado General'!#REF!,"AAAAAG9H2vQ=")</f>
        <v>#REF!</v>
      </c>
      <c r="IL9" t="e">
        <f>AND('Listado General'!#REF!,"AAAAAG9H2vU=")</f>
        <v>#REF!</v>
      </c>
      <c r="IM9" t="e">
        <f>AND('Listado General'!#REF!,"AAAAAG9H2vY=")</f>
        <v>#REF!</v>
      </c>
      <c r="IN9" t="e">
        <f>IF('Listado General'!#REF!,"AAAAAG9H2vc=",0)</f>
        <v>#REF!</v>
      </c>
      <c r="IO9" t="e">
        <f>AND('Listado General'!#REF!,"AAAAAG9H2vg=")</f>
        <v>#REF!</v>
      </c>
      <c r="IP9" t="e">
        <f>AND('Listado General'!#REF!,"AAAAAG9H2vk=")</f>
        <v>#REF!</v>
      </c>
      <c r="IQ9" t="e">
        <f>AND('Listado General'!#REF!,"AAAAAG9H2vo=")</f>
        <v>#REF!</v>
      </c>
      <c r="IR9" t="e">
        <f>AND('Listado General'!#REF!,"AAAAAG9H2vs=")</f>
        <v>#REF!</v>
      </c>
      <c r="IS9" t="e">
        <f>AND('Listado General'!#REF!,"AAAAAG9H2vw=")</f>
        <v>#REF!</v>
      </c>
      <c r="IT9" t="e">
        <f>AND('Listado General'!#REF!,"AAAAAG9H2v0=")</f>
        <v>#REF!</v>
      </c>
      <c r="IU9" t="e">
        <f>AND('Listado General'!#REF!,"AAAAAG9H2v4=")</f>
        <v>#REF!</v>
      </c>
      <c r="IV9" t="e">
        <f>AND('Listado General'!#REF!,"AAAAAG9H2v8=")</f>
        <v>#REF!</v>
      </c>
    </row>
    <row r="10" spans="1:256" ht="12.75">
      <c r="A10" t="e">
        <f>AND('Listado General'!#REF!,"AAAAAC4jvgA=")</f>
        <v>#REF!</v>
      </c>
      <c r="B10" t="e">
        <f>IF('Listado General'!#REF!,"AAAAAC4jvgE=",0)</f>
        <v>#REF!</v>
      </c>
      <c r="C10" t="e">
        <f>AND('Listado General'!#REF!,"AAAAAC4jvgI=")</f>
        <v>#REF!</v>
      </c>
      <c r="D10" t="e">
        <f>AND('Listado General'!#REF!,"AAAAAC4jvgM=")</f>
        <v>#REF!</v>
      </c>
      <c r="E10" t="e">
        <f>AND('Listado General'!#REF!,"AAAAAC4jvgQ=")</f>
        <v>#REF!</v>
      </c>
      <c r="F10" t="e">
        <f>AND('Listado General'!#REF!,"AAAAAC4jvgU=")</f>
        <v>#REF!</v>
      </c>
      <c r="G10" t="e">
        <f>AND('Listado General'!#REF!,"AAAAAC4jvgY=")</f>
        <v>#REF!</v>
      </c>
      <c r="H10" t="e">
        <f>AND('Listado General'!#REF!,"AAAAAC4jvgc=")</f>
        <v>#REF!</v>
      </c>
      <c r="I10" t="e">
        <f>AND('Listado General'!#REF!,"AAAAAC4jvgg=")</f>
        <v>#REF!</v>
      </c>
      <c r="J10" t="e">
        <f>AND('Listado General'!#REF!,"AAAAAC4jvgk=")</f>
        <v>#REF!</v>
      </c>
      <c r="K10" t="e">
        <f>AND('Listado General'!#REF!,"AAAAAC4jvgo=")</f>
        <v>#REF!</v>
      </c>
      <c r="L10" t="e">
        <f>IF('Listado General'!#REF!,"AAAAAC4jvgs=",0)</f>
        <v>#REF!</v>
      </c>
      <c r="M10" t="e">
        <f>AND('Listado General'!#REF!,"AAAAAC4jvgw=")</f>
        <v>#REF!</v>
      </c>
      <c r="N10" t="e">
        <f>AND('Listado General'!#REF!,"AAAAAC4jvg0=")</f>
        <v>#REF!</v>
      </c>
      <c r="O10" t="e">
        <f>AND('Listado General'!#REF!,"AAAAAC4jvg4=")</f>
        <v>#REF!</v>
      </c>
      <c r="P10" t="e">
        <f>AND('Listado General'!#REF!,"AAAAAC4jvg8=")</f>
        <v>#REF!</v>
      </c>
      <c r="Q10" t="e">
        <f>AND('Listado General'!#REF!,"AAAAAC4jvhA=")</f>
        <v>#REF!</v>
      </c>
      <c r="R10" t="e">
        <f>AND('Listado General'!#REF!,"AAAAAC4jvhE=")</f>
        <v>#REF!</v>
      </c>
      <c r="S10" t="e">
        <f>AND('Listado General'!#REF!,"AAAAAC4jvhI=")</f>
        <v>#REF!</v>
      </c>
      <c r="T10" t="e">
        <f>AND('Listado General'!#REF!,"AAAAAC4jvhM=")</f>
        <v>#REF!</v>
      </c>
      <c r="U10" t="e">
        <f>AND('Listado General'!#REF!,"AAAAAC4jvhQ=")</f>
        <v>#REF!</v>
      </c>
      <c r="V10" t="e">
        <f>IF('Listado General'!#REF!,"AAAAAC4jvhU=",0)</f>
        <v>#REF!</v>
      </c>
      <c r="W10" t="e">
        <f>AND('Listado General'!#REF!,"AAAAAC4jvhY=")</f>
        <v>#REF!</v>
      </c>
      <c r="X10" t="e">
        <f>AND('Listado General'!#REF!,"AAAAAC4jvhc=")</f>
        <v>#REF!</v>
      </c>
      <c r="Y10" t="e">
        <f>AND('Listado General'!#REF!,"AAAAAC4jvhg=")</f>
        <v>#REF!</v>
      </c>
      <c r="Z10" t="e">
        <f>AND('Listado General'!#REF!,"AAAAAC4jvhk=")</f>
        <v>#REF!</v>
      </c>
      <c r="AA10" t="e">
        <f>AND('Listado General'!#REF!,"AAAAAC4jvho=")</f>
        <v>#REF!</v>
      </c>
      <c r="AB10" t="e">
        <f>AND('Listado General'!#REF!,"AAAAAC4jvhs=")</f>
        <v>#REF!</v>
      </c>
      <c r="AC10" t="e">
        <f>AND('Listado General'!#REF!,"AAAAAC4jvhw=")</f>
        <v>#REF!</v>
      </c>
      <c r="AD10" t="e">
        <f>AND('Listado General'!#REF!,"AAAAAC4jvh0=")</f>
        <v>#REF!</v>
      </c>
      <c r="AE10" t="e">
        <f>AND('Listado General'!#REF!,"AAAAAC4jvh4=")</f>
        <v>#REF!</v>
      </c>
      <c r="AF10" t="e">
        <f>IF('Listado General'!#REF!,"AAAAAC4jvh8=",0)</f>
        <v>#REF!</v>
      </c>
      <c r="AG10" t="e">
        <f>AND('Listado General'!#REF!,"AAAAAC4jviA=")</f>
        <v>#REF!</v>
      </c>
      <c r="AH10" t="e">
        <f>AND('Listado General'!#REF!,"AAAAAC4jviE=")</f>
        <v>#REF!</v>
      </c>
      <c r="AI10" t="e">
        <f>AND('Listado General'!#REF!,"AAAAAC4jviI=")</f>
        <v>#REF!</v>
      </c>
      <c r="AJ10" t="e">
        <f>AND('Listado General'!#REF!,"AAAAAC4jviM=")</f>
        <v>#REF!</v>
      </c>
      <c r="AK10" t="e">
        <f>AND('Listado General'!#REF!,"AAAAAC4jviQ=")</f>
        <v>#REF!</v>
      </c>
      <c r="AL10" t="e">
        <f>AND('Listado General'!#REF!,"AAAAAC4jviU=")</f>
        <v>#REF!</v>
      </c>
      <c r="AM10" t="e">
        <f>AND('Listado General'!#REF!,"AAAAAC4jviY=")</f>
        <v>#REF!</v>
      </c>
      <c r="AN10" t="e">
        <f>AND('Listado General'!#REF!,"AAAAAC4jvic=")</f>
        <v>#REF!</v>
      </c>
      <c r="AO10" t="e">
        <f>AND('Listado General'!#REF!,"AAAAAC4jvig=")</f>
        <v>#REF!</v>
      </c>
      <c r="AP10" t="e">
        <f>IF('Listado General'!#REF!,"AAAAAC4jvik=",0)</f>
        <v>#REF!</v>
      </c>
      <c r="AQ10" t="e">
        <f>AND('Listado General'!#REF!,"AAAAAC4jvio=")</f>
        <v>#REF!</v>
      </c>
      <c r="AR10" t="e">
        <f>AND('Listado General'!#REF!,"AAAAAC4jvis=")</f>
        <v>#REF!</v>
      </c>
      <c r="AS10" t="e">
        <f>AND('Listado General'!#REF!,"AAAAAC4jviw=")</f>
        <v>#REF!</v>
      </c>
      <c r="AT10" t="e">
        <f>AND('Listado General'!#REF!,"AAAAAC4jvi0=")</f>
        <v>#REF!</v>
      </c>
      <c r="AU10" t="e">
        <f>AND('Listado General'!#REF!,"AAAAAC4jvi4=")</f>
        <v>#REF!</v>
      </c>
      <c r="AV10" t="e">
        <f>AND('Listado General'!#REF!,"AAAAAC4jvi8=")</f>
        <v>#REF!</v>
      </c>
      <c r="AW10" t="e">
        <f>AND('Listado General'!#REF!,"AAAAAC4jvjA=")</f>
        <v>#REF!</v>
      </c>
      <c r="AX10" t="e">
        <f>AND('Listado General'!#REF!,"AAAAAC4jvjE=")</f>
        <v>#REF!</v>
      </c>
      <c r="AY10" t="e">
        <f>AND('Listado General'!#REF!,"AAAAAC4jvjI=")</f>
        <v>#REF!</v>
      </c>
      <c r="AZ10" t="e">
        <f>IF('Listado General'!#REF!,"AAAAAC4jvjM=",0)</f>
        <v>#REF!</v>
      </c>
      <c r="BA10" t="e">
        <f>AND('Listado General'!#REF!,"AAAAAC4jvjQ=")</f>
        <v>#REF!</v>
      </c>
      <c r="BB10" t="e">
        <f>AND('Listado General'!#REF!,"AAAAAC4jvjU=")</f>
        <v>#REF!</v>
      </c>
      <c r="BC10" t="e">
        <f>AND('Listado General'!#REF!,"AAAAAC4jvjY=")</f>
        <v>#REF!</v>
      </c>
      <c r="BD10" t="e">
        <f>AND('Listado General'!#REF!,"AAAAAC4jvjc=")</f>
        <v>#REF!</v>
      </c>
      <c r="BE10" t="e">
        <f>AND('Listado General'!#REF!,"AAAAAC4jvjg=")</f>
        <v>#REF!</v>
      </c>
      <c r="BF10" t="e">
        <f>AND('Listado General'!#REF!,"AAAAAC4jvjk=")</f>
        <v>#REF!</v>
      </c>
      <c r="BG10" t="e">
        <f>AND('Listado General'!#REF!,"AAAAAC4jvjo=")</f>
        <v>#REF!</v>
      </c>
      <c r="BH10" t="e">
        <f>AND('Listado General'!#REF!,"AAAAAC4jvjs=")</f>
        <v>#REF!</v>
      </c>
      <c r="BI10" t="e">
        <f>AND('Listado General'!#REF!,"AAAAAC4jvjw=")</f>
        <v>#REF!</v>
      </c>
      <c r="BJ10" t="e">
        <f>IF('Listado General'!#REF!,"AAAAAC4jvj0=",0)</f>
        <v>#REF!</v>
      </c>
      <c r="BK10" t="e">
        <f>AND('Listado General'!#REF!,"AAAAAC4jvj4=")</f>
        <v>#REF!</v>
      </c>
      <c r="BL10" t="e">
        <f>AND('Listado General'!#REF!,"AAAAAC4jvj8=")</f>
        <v>#REF!</v>
      </c>
      <c r="BM10" t="e">
        <f>AND('Listado General'!#REF!,"AAAAAC4jvkA=")</f>
        <v>#REF!</v>
      </c>
      <c r="BN10" t="e">
        <f>AND('Listado General'!#REF!,"AAAAAC4jvkE=")</f>
        <v>#REF!</v>
      </c>
      <c r="BO10" t="e">
        <f>AND('Listado General'!#REF!,"AAAAAC4jvkI=")</f>
        <v>#REF!</v>
      </c>
      <c r="BP10" t="e">
        <f>AND('Listado General'!#REF!,"AAAAAC4jvkM=")</f>
        <v>#REF!</v>
      </c>
      <c r="BQ10" t="e">
        <f>AND('Listado General'!#REF!,"AAAAAC4jvkQ=")</f>
        <v>#REF!</v>
      </c>
      <c r="BR10" t="e">
        <f>AND('Listado General'!#REF!,"AAAAAC4jvkU=")</f>
        <v>#REF!</v>
      </c>
      <c r="BS10" t="e">
        <f>AND('Listado General'!#REF!,"AAAAAC4jvkY=")</f>
        <v>#REF!</v>
      </c>
      <c r="BT10" t="e">
        <f>IF('Listado General'!#REF!,"AAAAAC4jvkc=",0)</f>
        <v>#REF!</v>
      </c>
      <c r="BU10" t="e">
        <f>AND('Listado General'!#REF!,"AAAAAC4jvkg=")</f>
        <v>#REF!</v>
      </c>
      <c r="BV10" t="e">
        <f>AND('Listado General'!#REF!,"AAAAAC4jvkk=")</f>
        <v>#REF!</v>
      </c>
      <c r="BW10" t="e">
        <f>AND('Listado General'!#REF!,"AAAAAC4jvko=")</f>
        <v>#REF!</v>
      </c>
      <c r="BX10" t="e">
        <f>AND('Listado General'!#REF!,"AAAAAC4jvks=")</f>
        <v>#REF!</v>
      </c>
      <c r="BY10" t="e">
        <f>AND('Listado General'!#REF!,"AAAAAC4jvkw=")</f>
        <v>#REF!</v>
      </c>
      <c r="BZ10" t="e">
        <f>AND('Listado General'!#REF!,"AAAAAC4jvk0=")</f>
        <v>#REF!</v>
      </c>
      <c r="CA10" t="e">
        <f>AND('Listado General'!#REF!,"AAAAAC4jvk4=")</f>
        <v>#REF!</v>
      </c>
      <c r="CB10" t="e">
        <f>AND('Listado General'!#REF!,"AAAAAC4jvk8=")</f>
        <v>#REF!</v>
      </c>
      <c r="CC10" t="e">
        <f>AND('Listado General'!#REF!,"AAAAAC4jvlA=")</f>
        <v>#REF!</v>
      </c>
      <c r="CD10" t="e">
        <f>IF('Listado General'!#REF!,"AAAAAC4jvlE=",0)</f>
        <v>#REF!</v>
      </c>
      <c r="CE10" t="e">
        <f>AND('Listado General'!#REF!,"AAAAAC4jvlI=")</f>
        <v>#REF!</v>
      </c>
      <c r="CF10" t="e">
        <f>AND('Listado General'!#REF!,"AAAAAC4jvlM=")</f>
        <v>#REF!</v>
      </c>
      <c r="CG10" t="e">
        <f>AND('Listado General'!#REF!,"AAAAAC4jvlQ=")</f>
        <v>#REF!</v>
      </c>
      <c r="CH10" t="e">
        <f>AND('Listado General'!#REF!,"AAAAAC4jvlU=")</f>
        <v>#REF!</v>
      </c>
      <c r="CI10" t="e">
        <f>AND('Listado General'!#REF!,"AAAAAC4jvlY=")</f>
        <v>#REF!</v>
      </c>
      <c r="CJ10" t="e">
        <f>AND('Listado General'!#REF!,"AAAAAC4jvlc=")</f>
        <v>#REF!</v>
      </c>
      <c r="CK10" t="e">
        <f>AND('Listado General'!#REF!,"AAAAAC4jvlg=")</f>
        <v>#REF!</v>
      </c>
      <c r="CL10" t="e">
        <f>AND('Listado General'!#REF!,"AAAAAC4jvlk=")</f>
        <v>#REF!</v>
      </c>
      <c r="CM10" t="e">
        <f>AND('Listado General'!#REF!,"AAAAAC4jvlo=")</f>
        <v>#REF!</v>
      </c>
      <c r="CN10" t="e">
        <f>IF('Listado General'!#REF!,"AAAAAC4jvls=",0)</f>
        <v>#REF!</v>
      </c>
      <c r="CO10" t="e">
        <f>AND('Listado General'!#REF!,"AAAAAC4jvlw=")</f>
        <v>#REF!</v>
      </c>
      <c r="CP10" t="e">
        <f>AND('Listado General'!#REF!,"AAAAAC4jvl0=")</f>
        <v>#REF!</v>
      </c>
      <c r="CQ10" t="e">
        <f>AND('Listado General'!#REF!,"AAAAAC4jvl4=")</f>
        <v>#REF!</v>
      </c>
      <c r="CR10" t="e">
        <f>AND('Listado General'!#REF!,"AAAAAC4jvl8=")</f>
        <v>#REF!</v>
      </c>
      <c r="CS10" t="e">
        <f>AND('Listado General'!#REF!,"AAAAAC4jvmA=")</f>
        <v>#REF!</v>
      </c>
      <c r="CT10" t="e">
        <f>AND('Listado General'!#REF!,"AAAAAC4jvmE=")</f>
        <v>#REF!</v>
      </c>
      <c r="CU10" t="e">
        <f>AND('Listado General'!#REF!,"AAAAAC4jvmI=")</f>
        <v>#REF!</v>
      </c>
      <c r="CV10" t="e">
        <f>AND('Listado General'!#REF!,"AAAAAC4jvmM=")</f>
        <v>#REF!</v>
      </c>
      <c r="CW10" t="e">
        <f>AND('Listado General'!#REF!,"AAAAAC4jvmQ=")</f>
        <v>#REF!</v>
      </c>
      <c r="CX10" t="e">
        <f>IF('Listado General'!#REF!,"AAAAAC4jvmU=",0)</f>
        <v>#REF!</v>
      </c>
      <c r="CY10" t="e">
        <f>AND('Listado General'!#REF!,"AAAAAC4jvmY=")</f>
        <v>#REF!</v>
      </c>
      <c r="CZ10" t="e">
        <f>AND('Listado General'!#REF!,"AAAAAC4jvmc=")</f>
        <v>#REF!</v>
      </c>
      <c r="DA10" t="e">
        <f>AND('Listado General'!#REF!,"AAAAAC4jvmg=")</f>
        <v>#REF!</v>
      </c>
      <c r="DB10" t="e">
        <f>AND('Listado General'!#REF!,"AAAAAC4jvmk=")</f>
        <v>#REF!</v>
      </c>
      <c r="DC10" t="e">
        <f>AND('Listado General'!#REF!,"AAAAAC4jvmo=")</f>
        <v>#REF!</v>
      </c>
      <c r="DD10" t="e">
        <f>AND('Listado General'!#REF!,"AAAAAC4jvms=")</f>
        <v>#REF!</v>
      </c>
      <c r="DE10" t="e">
        <f>AND('Listado General'!#REF!,"AAAAAC4jvmw=")</f>
        <v>#REF!</v>
      </c>
      <c r="DF10" t="e">
        <f>AND('Listado General'!#REF!,"AAAAAC4jvm0=")</f>
        <v>#REF!</v>
      </c>
      <c r="DG10" t="e">
        <f>AND('Listado General'!#REF!,"AAAAAC4jvm4=")</f>
        <v>#REF!</v>
      </c>
      <c r="DH10" t="e">
        <f>IF('Listado General'!#REF!,"AAAAAC4jvm8=",0)</f>
        <v>#REF!</v>
      </c>
      <c r="DI10" t="e">
        <f>AND('Listado General'!#REF!,"AAAAAC4jvnA=")</f>
        <v>#REF!</v>
      </c>
      <c r="DJ10" t="e">
        <f>AND('Listado General'!#REF!,"AAAAAC4jvnE=")</f>
        <v>#REF!</v>
      </c>
      <c r="DK10" t="e">
        <f>AND('Listado General'!#REF!,"AAAAAC4jvnI=")</f>
        <v>#REF!</v>
      </c>
      <c r="DL10" t="e">
        <f>AND('Listado General'!#REF!,"AAAAAC4jvnM=")</f>
        <v>#REF!</v>
      </c>
      <c r="DM10" t="e">
        <f>AND('Listado General'!#REF!,"AAAAAC4jvnQ=")</f>
        <v>#REF!</v>
      </c>
      <c r="DN10" t="e">
        <f>AND('Listado General'!#REF!,"AAAAAC4jvnU=")</f>
        <v>#REF!</v>
      </c>
      <c r="DO10" t="e">
        <f>AND('Listado General'!#REF!,"AAAAAC4jvnY=")</f>
        <v>#REF!</v>
      </c>
      <c r="DP10" t="e">
        <f>AND('Listado General'!#REF!,"AAAAAC4jvnc=")</f>
        <v>#REF!</v>
      </c>
      <c r="DQ10" t="e">
        <f>AND('Listado General'!#REF!,"AAAAAC4jvng=")</f>
        <v>#REF!</v>
      </c>
      <c r="DR10" t="e">
        <f>IF('Listado General'!#REF!,"AAAAAC4jvnk=",0)</f>
        <v>#REF!</v>
      </c>
      <c r="DS10" t="e">
        <f>AND('Listado General'!#REF!,"AAAAAC4jvno=")</f>
        <v>#REF!</v>
      </c>
      <c r="DT10" t="e">
        <f>AND('Listado General'!#REF!,"AAAAAC4jvns=")</f>
        <v>#REF!</v>
      </c>
      <c r="DU10" t="e">
        <f>AND('Listado General'!#REF!,"AAAAAC4jvnw=")</f>
        <v>#REF!</v>
      </c>
      <c r="DV10" t="e">
        <f>AND('Listado General'!#REF!,"AAAAAC4jvn0=")</f>
        <v>#REF!</v>
      </c>
      <c r="DW10" t="e">
        <f>AND('Listado General'!#REF!,"AAAAAC4jvn4=")</f>
        <v>#REF!</v>
      </c>
      <c r="DX10" t="e">
        <f>AND('Listado General'!#REF!,"AAAAAC4jvn8=")</f>
        <v>#REF!</v>
      </c>
      <c r="DY10" t="e">
        <f>AND('Listado General'!#REF!,"AAAAAC4jvoA=")</f>
        <v>#REF!</v>
      </c>
      <c r="DZ10" t="e">
        <f>AND('Listado General'!#REF!,"AAAAAC4jvoE=")</f>
        <v>#REF!</v>
      </c>
      <c r="EA10" t="e">
        <f>AND('Listado General'!#REF!,"AAAAAC4jvoI=")</f>
        <v>#REF!</v>
      </c>
      <c r="EB10" t="e">
        <f>IF('Listado General'!#REF!,"AAAAAC4jvoM=",0)</f>
        <v>#REF!</v>
      </c>
      <c r="EC10" t="e">
        <f>AND('Listado General'!#REF!,"AAAAAC4jvoQ=")</f>
        <v>#REF!</v>
      </c>
      <c r="ED10" t="e">
        <f>AND('Listado General'!#REF!,"AAAAAC4jvoU=")</f>
        <v>#REF!</v>
      </c>
      <c r="EE10" t="e">
        <f>AND('Listado General'!#REF!,"AAAAAC4jvoY=")</f>
        <v>#REF!</v>
      </c>
      <c r="EF10" t="e">
        <f>AND('Listado General'!#REF!,"AAAAAC4jvoc=")</f>
        <v>#REF!</v>
      </c>
      <c r="EG10" t="e">
        <f>AND('Listado General'!#REF!,"AAAAAC4jvog=")</f>
        <v>#REF!</v>
      </c>
      <c r="EH10" t="e">
        <f>AND('Listado General'!#REF!,"AAAAAC4jvok=")</f>
        <v>#REF!</v>
      </c>
      <c r="EI10" t="e">
        <f>AND('Listado General'!#REF!,"AAAAAC4jvoo=")</f>
        <v>#REF!</v>
      </c>
      <c r="EJ10" t="e">
        <f>AND('Listado General'!#REF!,"AAAAAC4jvos=")</f>
        <v>#REF!</v>
      </c>
      <c r="EK10" t="e">
        <f>AND('Listado General'!#REF!,"AAAAAC4jvow=")</f>
        <v>#REF!</v>
      </c>
      <c r="EL10" t="e">
        <f>IF('Listado General'!#REF!,"AAAAAC4jvo0=",0)</f>
        <v>#REF!</v>
      </c>
      <c r="EM10" t="e">
        <f>AND('Listado General'!#REF!,"AAAAAC4jvo4=")</f>
        <v>#REF!</v>
      </c>
      <c r="EN10" t="e">
        <f>AND('Listado General'!#REF!,"AAAAAC4jvo8=")</f>
        <v>#REF!</v>
      </c>
      <c r="EO10" t="e">
        <f>AND('Listado General'!#REF!,"AAAAAC4jvpA=")</f>
        <v>#REF!</v>
      </c>
      <c r="EP10" t="e">
        <f>AND('Listado General'!#REF!,"AAAAAC4jvpE=")</f>
        <v>#REF!</v>
      </c>
      <c r="EQ10" t="e">
        <f>AND('Listado General'!#REF!,"AAAAAC4jvpI=")</f>
        <v>#REF!</v>
      </c>
      <c r="ER10" t="e">
        <f>AND('Listado General'!#REF!,"AAAAAC4jvpM=")</f>
        <v>#REF!</v>
      </c>
      <c r="ES10" t="e">
        <f>AND('Listado General'!#REF!,"AAAAAC4jvpQ=")</f>
        <v>#REF!</v>
      </c>
      <c r="ET10" t="e">
        <f>AND('Listado General'!#REF!,"AAAAAC4jvpU=")</f>
        <v>#REF!</v>
      </c>
      <c r="EU10" t="e">
        <f>AND('Listado General'!#REF!,"AAAAAC4jvpY=")</f>
        <v>#REF!</v>
      </c>
      <c r="EV10" t="e">
        <f>IF('Listado General'!#REF!,"AAAAAC4jvpc=",0)</f>
        <v>#REF!</v>
      </c>
      <c r="EW10" t="e">
        <f>AND('Listado General'!#REF!,"AAAAAC4jvpg=")</f>
        <v>#REF!</v>
      </c>
      <c r="EX10" t="e">
        <f>AND('Listado General'!#REF!,"AAAAAC4jvpk=")</f>
        <v>#REF!</v>
      </c>
      <c r="EY10" t="e">
        <f>AND('Listado General'!#REF!,"AAAAAC4jvpo=")</f>
        <v>#REF!</v>
      </c>
      <c r="EZ10" t="e">
        <f>AND('Listado General'!#REF!,"AAAAAC4jvps=")</f>
        <v>#REF!</v>
      </c>
      <c r="FA10" t="e">
        <f>AND('Listado General'!#REF!,"AAAAAC4jvpw=")</f>
        <v>#REF!</v>
      </c>
      <c r="FB10" t="e">
        <f>AND('Listado General'!#REF!,"AAAAAC4jvp0=")</f>
        <v>#REF!</v>
      </c>
      <c r="FC10" t="e">
        <f>AND('Listado General'!#REF!,"AAAAAC4jvp4=")</f>
        <v>#REF!</v>
      </c>
      <c r="FD10" t="e">
        <f>AND('Listado General'!#REF!,"AAAAAC4jvp8=")</f>
        <v>#REF!</v>
      </c>
      <c r="FE10" t="e">
        <f>AND('Listado General'!#REF!,"AAAAAC4jvqA=")</f>
        <v>#REF!</v>
      </c>
      <c r="FF10" t="e">
        <f>IF('Listado General'!#REF!,"AAAAAC4jvqE=",0)</f>
        <v>#REF!</v>
      </c>
      <c r="FG10" t="e">
        <f>AND('Listado General'!#REF!,"AAAAAC4jvqI=")</f>
        <v>#REF!</v>
      </c>
      <c r="FH10" t="e">
        <f>AND('Listado General'!#REF!,"AAAAAC4jvqM=")</f>
        <v>#REF!</v>
      </c>
      <c r="FI10" t="e">
        <f>AND('Listado General'!#REF!,"AAAAAC4jvqQ=")</f>
        <v>#REF!</v>
      </c>
      <c r="FJ10" t="e">
        <f>AND('Listado General'!#REF!,"AAAAAC4jvqU=")</f>
        <v>#REF!</v>
      </c>
      <c r="FK10" t="e">
        <f>AND('Listado General'!#REF!,"AAAAAC4jvqY=")</f>
        <v>#REF!</v>
      </c>
      <c r="FL10" t="e">
        <f>AND('Listado General'!#REF!,"AAAAAC4jvqc=")</f>
        <v>#REF!</v>
      </c>
      <c r="FM10" t="e">
        <f>AND('Listado General'!#REF!,"AAAAAC4jvqg=")</f>
        <v>#REF!</v>
      </c>
      <c r="FN10" t="e">
        <f>AND('Listado General'!#REF!,"AAAAAC4jvqk=")</f>
        <v>#REF!</v>
      </c>
      <c r="FO10" t="e">
        <f>AND('Listado General'!#REF!,"AAAAAC4jvqo=")</f>
        <v>#REF!</v>
      </c>
      <c r="FP10" t="e">
        <f>IF('Listado General'!#REF!,"AAAAAC4jvqs=",0)</f>
        <v>#REF!</v>
      </c>
      <c r="FQ10" t="e">
        <f>AND('Listado General'!#REF!,"AAAAAC4jvqw=")</f>
        <v>#REF!</v>
      </c>
      <c r="FR10" t="e">
        <f>AND('Listado General'!#REF!,"AAAAAC4jvq0=")</f>
        <v>#REF!</v>
      </c>
      <c r="FS10" t="e">
        <f>AND('Listado General'!#REF!,"AAAAAC4jvq4=")</f>
        <v>#REF!</v>
      </c>
      <c r="FT10" t="e">
        <f>AND('Listado General'!#REF!,"AAAAAC4jvq8=")</f>
        <v>#REF!</v>
      </c>
      <c r="FU10" t="e">
        <f>AND('Listado General'!#REF!,"AAAAAC4jvrA=")</f>
        <v>#REF!</v>
      </c>
      <c r="FV10" t="e">
        <f>AND('Listado General'!#REF!,"AAAAAC4jvrE=")</f>
        <v>#REF!</v>
      </c>
      <c r="FW10" t="e">
        <f>AND('Listado General'!#REF!,"AAAAAC4jvrI=")</f>
        <v>#REF!</v>
      </c>
      <c r="FX10" t="e">
        <f>AND('Listado General'!#REF!,"AAAAAC4jvrM=")</f>
        <v>#REF!</v>
      </c>
      <c r="FY10" t="e">
        <f>AND('Listado General'!#REF!,"AAAAAC4jvrQ=")</f>
        <v>#REF!</v>
      </c>
      <c r="FZ10" t="e">
        <f>IF('Listado General'!#REF!,"AAAAAC4jvrU=",0)</f>
        <v>#REF!</v>
      </c>
      <c r="GA10" t="e">
        <f>AND('Listado General'!#REF!,"AAAAAC4jvrY=")</f>
        <v>#REF!</v>
      </c>
      <c r="GB10" t="e">
        <f>AND('Listado General'!#REF!,"AAAAAC4jvrc=")</f>
        <v>#REF!</v>
      </c>
      <c r="GC10" t="e">
        <f>AND('Listado General'!#REF!,"AAAAAC4jvrg=")</f>
        <v>#REF!</v>
      </c>
      <c r="GD10" t="e">
        <f>AND('Listado General'!#REF!,"AAAAAC4jvrk=")</f>
        <v>#REF!</v>
      </c>
      <c r="GE10" t="e">
        <f>AND('Listado General'!#REF!,"AAAAAC4jvro=")</f>
        <v>#REF!</v>
      </c>
      <c r="GF10" t="e">
        <f>AND('Listado General'!#REF!,"AAAAAC4jvrs=")</f>
        <v>#REF!</v>
      </c>
      <c r="GG10" t="e">
        <f>AND('Listado General'!#REF!,"AAAAAC4jvrw=")</f>
        <v>#REF!</v>
      </c>
      <c r="GH10" t="e">
        <f>AND('Listado General'!#REF!,"AAAAAC4jvr0=")</f>
        <v>#REF!</v>
      </c>
      <c r="GI10" t="e">
        <f>AND('Listado General'!#REF!,"AAAAAC4jvr4=")</f>
        <v>#REF!</v>
      </c>
      <c r="GJ10" t="e">
        <f>IF('Listado General'!#REF!,"AAAAAC4jvr8=",0)</f>
        <v>#REF!</v>
      </c>
      <c r="GK10" t="e">
        <f>AND('Listado General'!#REF!,"AAAAAC4jvsA=")</f>
        <v>#REF!</v>
      </c>
      <c r="GL10" t="e">
        <f>AND('Listado General'!#REF!,"AAAAAC4jvsE=")</f>
        <v>#REF!</v>
      </c>
      <c r="GM10" t="e">
        <f>AND('Listado General'!#REF!,"AAAAAC4jvsI=")</f>
        <v>#REF!</v>
      </c>
      <c r="GN10" t="e">
        <f>AND('Listado General'!#REF!,"AAAAAC4jvsM=")</f>
        <v>#REF!</v>
      </c>
      <c r="GO10" t="e">
        <f>AND('Listado General'!#REF!,"AAAAAC4jvsQ=")</f>
        <v>#REF!</v>
      </c>
      <c r="GP10" t="e">
        <f>AND('Listado General'!#REF!,"AAAAAC4jvsU=")</f>
        <v>#REF!</v>
      </c>
      <c r="GQ10" t="e">
        <f>AND('Listado General'!#REF!,"AAAAAC4jvsY=")</f>
        <v>#REF!</v>
      </c>
      <c r="GR10" t="e">
        <f>AND('Listado General'!#REF!,"AAAAAC4jvsc=")</f>
        <v>#REF!</v>
      </c>
      <c r="GS10" t="e">
        <f>AND('Listado General'!#REF!,"AAAAAC4jvsg=")</f>
        <v>#REF!</v>
      </c>
      <c r="GT10" t="e">
        <f>IF('Listado General'!#REF!,"AAAAAC4jvsk=",0)</f>
        <v>#REF!</v>
      </c>
      <c r="GU10" t="e">
        <f>AND('Listado General'!#REF!,"AAAAAC4jvso=")</f>
        <v>#REF!</v>
      </c>
      <c r="GV10" t="e">
        <f>AND('Listado General'!#REF!,"AAAAAC4jvss=")</f>
        <v>#REF!</v>
      </c>
      <c r="GW10" t="e">
        <f>AND('Listado General'!#REF!,"AAAAAC4jvsw=")</f>
        <v>#REF!</v>
      </c>
      <c r="GX10" t="e">
        <f>AND('Listado General'!#REF!,"AAAAAC4jvs0=")</f>
        <v>#REF!</v>
      </c>
      <c r="GY10" t="e">
        <f>AND('Listado General'!#REF!,"AAAAAC4jvs4=")</f>
        <v>#REF!</v>
      </c>
      <c r="GZ10" t="e">
        <f>AND('Listado General'!#REF!,"AAAAAC4jvs8=")</f>
        <v>#REF!</v>
      </c>
      <c r="HA10" t="e">
        <f>AND('Listado General'!#REF!,"AAAAAC4jvtA=")</f>
        <v>#REF!</v>
      </c>
      <c r="HB10" t="e">
        <f>AND('Listado General'!#REF!,"AAAAAC4jvtE=")</f>
        <v>#REF!</v>
      </c>
      <c r="HC10" t="e">
        <f>AND('Listado General'!#REF!,"AAAAAC4jvtI=")</f>
        <v>#REF!</v>
      </c>
      <c r="HD10" t="e">
        <f>IF('Listado General'!#REF!,"AAAAAC4jvtM=",0)</f>
        <v>#REF!</v>
      </c>
      <c r="HE10" t="e">
        <f>AND('Listado General'!#REF!,"AAAAAC4jvtQ=")</f>
        <v>#REF!</v>
      </c>
      <c r="HF10" t="e">
        <f>AND('Listado General'!#REF!,"AAAAAC4jvtU=")</f>
        <v>#REF!</v>
      </c>
      <c r="HG10" t="e">
        <f>AND('Listado General'!#REF!,"AAAAAC4jvtY=")</f>
        <v>#REF!</v>
      </c>
      <c r="HH10" t="e">
        <f>AND('Listado General'!#REF!,"AAAAAC4jvtc=")</f>
        <v>#REF!</v>
      </c>
      <c r="HI10" t="e">
        <f>AND('Listado General'!#REF!,"AAAAAC4jvtg=")</f>
        <v>#REF!</v>
      </c>
      <c r="HJ10" t="e">
        <f>AND('Listado General'!#REF!,"AAAAAC4jvtk=")</f>
        <v>#REF!</v>
      </c>
      <c r="HK10" t="e">
        <f>AND('Listado General'!#REF!,"AAAAAC4jvto=")</f>
        <v>#REF!</v>
      </c>
      <c r="HL10" t="e">
        <f>AND('Listado General'!#REF!,"AAAAAC4jvts=")</f>
        <v>#REF!</v>
      </c>
      <c r="HM10" t="e">
        <f>AND('Listado General'!#REF!,"AAAAAC4jvtw=")</f>
        <v>#REF!</v>
      </c>
      <c r="HN10" t="e">
        <f>IF('Listado General'!#REF!,"AAAAAC4jvt0=",0)</f>
        <v>#REF!</v>
      </c>
      <c r="HO10" t="e">
        <f>AND('Listado General'!#REF!,"AAAAAC4jvt4=")</f>
        <v>#REF!</v>
      </c>
      <c r="HP10" t="e">
        <f>AND('Listado General'!#REF!,"AAAAAC4jvt8=")</f>
        <v>#REF!</v>
      </c>
      <c r="HQ10" t="e">
        <f>AND('Listado General'!#REF!,"AAAAAC4jvuA=")</f>
        <v>#REF!</v>
      </c>
      <c r="HR10" t="e">
        <f>AND('Listado General'!#REF!,"AAAAAC4jvuE=")</f>
        <v>#REF!</v>
      </c>
      <c r="HS10" t="e">
        <f>AND('Listado General'!#REF!,"AAAAAC4jvuI=")</f>
        <v>#REF!</v>
      </c>
      <c r="HT10" t="e">
        <f>AND('Listado General'!#REF!,"AAAAAC4jvuM=")</f>
        <v>#REF!</v>
      </c>
      <c r="HU10" t="e">
        <f>AND('Listado General'!#REF!,"AAAAAC4jvuQ=")</f>
        <v>#REF!</v>
      </c>
      <c r="HV10" t="e">
        <f>AND('Listado General'!#REF!,"AAAAAC4jvuU=")</f>
        <v>#REF!</v>
      </c>
      <c r="HW10" t="e">
        <f>AND('Listado General'!#REF!,"AAAAAC4jvuY=")</f>
        <v>#REF!</v>
      </c>
      <c r="HX10" t="e">
        <f>IF('Listado General'!#REF!,"AAAAAC4jvuc=",0)</f>
        <v>#REF!</v>
      </c>
      <c r="HY10" t="e">
        <f>AND('Listado General'!#REF!,"AAAAAC4jvug=")</f>
        <v>#REF!</v>
      </c>
      <c r="HZ10" t="e">
        <f>AND('Listado General'!#REF!,"AAAAAC4jvuk=")</f>
        <v>#REF!</v>
      </c>
      <c r="IA10" t="e">
        <f>AND('Listado General'!#REF!,"AAAAAC4jvuo=")</f>
        <v>#REF!</v>
      </c>
      <c r="IB10" t="e">
        <f>AND('Listado General'!#REF!,"AAAAAC4jvus=")</f>
        <v>#REF!</v>
      </c>
      <c r="IC10" t="e">
        <f>AND('Listado General'!#REF!,"AAAAAC4jvuw=")</f>
        <v>#REF!</v>
      </c>
      <c r="ID10" t="e">
        <f>AND('Listado General'!#REF!,"AAAAAC4jvu0=")</f>
        <v>#REF!</v>
      </c>
      <c r="IE10" t="e">
        <f>AND('Listado General'!#REF!,"AAAAAC4jvu4=")</f>
        <v>#REF!</v>
      </c>
      <c r="IF10" t="e">
        <f>AND('Listado General'!#REF!,"AAAAAC4jvu8=")</f>
        <v>#REF!</v>
      </c>
      <c r="IG10" t="e">
        <f>AND('Listado General'!#REF!,"AAAAAC4jvvA=")</f>
        <v>#REF!</v>
      </c>
      <c r="IH10" t="e">
        <f>IF('Listado General'!#REF!,"AAAAAC4jvvE=",0)</f>
        <v>#REF!</v>
      </c>
      <c r="II10" t="e">
        <f>AND('Listado General'!#REF!,"AAAAAC4jvvI=")</f>
        <v>#REF!</v>
      </c>
      <c r="IJ10" t="e">
        <f>AND('Listado General'!#REF!,"AAAAAC4jvvM=")</f>
        <v>#REF!</v>
      </c>
      <c r="IK10" t="e">
        <f>AND('Listado General'!#REF!,"AAAAAC4jvvQ=")</f>
        <v>#REF!</v>
      </c>
      <c r="IL10" t="e">
        <f>AND('Listado General'!#REF!,"AAAAAC4jvvU=")</f>
        <v>#REF!</v>
      </c>
      <c r="IM10" t="e">
        <f>AND('Listado General'!#REF!,"AAAAAC4jvvY=")</f>
        <v>#REF!</v>
      </c>
      <c r="IN10" t="e">
        <f>AND('Listado General'!#REF!,"AAAAAC4jvvc=")</f>
        <v>#REF!</v>
      </c>
      <c r="IO10" t="e">
        <f>AND('Listado General'!#REF!,"AAAAAC4jvvg=")</f>
        <v>#REF!</v>
      </c>
      <c r="IP10" t="e">
        <f>AND('Listado General'!#REF!,"AAAAAC4jvvk=")</f>
        <v>#REF!</v>
      </c>
      <c r="IQ10" t="e">
        <f>AND('Listado General'!#REF!,"AAAAAC4jvvo=")</f>
        <v>#REF!</v>
      </c>
      <c r="IR10" t="e">
        <f>IF('Listado General'!#REF!,"AAAAAC4jvvs=",0)</f>
        <v>#REF!</v>
      </c>
      <c r="IS10" t="e">
        <f>AND('Listado General'!#REF!,"AAAAAC4jvvw=")</f>
        <v>#REF!</v>
      </c>
      <c r="IT10" t="e">
        <f>AND('Listado General'!#REF!,"AAAAAC4jvv0=")</f>
        <v>#REF!</v>
      </c>
      <c r="IU10" t="e">
        <f>AND('Listado General'!#REF!,"AAAAAC4jvv4=")</f>
        <v>#REF!</v>
      </c>
      <c r="IV10" t="e">
        <f>AND('Listado General'!#REF!,"AAAAAC4jvv8=")</f>
        <v>#REF!</v>
      </c>
    </row>
    <row r="11" spans="1:256" ht="12.75">
      <c r="A11" t="e">
        <f>AND('Listado General'!#REF!,"AAAAAHmf+gA=")</f>
        <v>#REF!</v>
      </c>
      <c r="B11" t="e">
        <f>AND('Listado General'!#REF!,"AAAAAHmf+gE=")</f>
        <v>#REF!</v>
      </c>
      <c r="C11" t="e">
        <f>AND('Listado General'!#REF!,"AAAAAHmf+gI=")</f>
        <v>#REF!</v>
      </c>
      <c r="D11" t="e">
        <f>AND('Listado General'!#REF!,"AAAAAHmf+gM=")</f>
        <v>#REF!</v>
      </c>
      <c r="E11" t="e">
        <f>AND('Listado General'!#REF!,"AAAAAHmf+gQ=")</f>
        <v>#REF!</v>
      </c>
      <c r="F11" t="e">
        <f>IF('Listado General'!#REF!,"AAAAAHmf+gU=",0)</f>
        <v>#REF!</v>
      </c>
      <c r="G11" t="e">
        <f>AND('Listado General'!#REF!,"AAAAAHmf+gY=")</f>
        <v>#REF!</v>
      </c>
      <c r="H11" t="e">
        <f>AND('Listado General'!#REF!,"AAAAAHmf+gc=")</f>
        <v>#REF!</v>
      </c>
      <c r="I11" t="e">
        <f>AND('Listado General'!#REF!,"AAAAAHmf+gg=")</f>
        <v>#REF!</v>
      </c>
      <c r="J11" t="e">
        <f>AND('Listado General'!#REF!,"AAAAAHmf+gk=")</f>
        <v>#REF!</v>
      </c>
      <c r="K11" t="e">
        <f>AND('Listado General'!#REF!,"AAAAAHmf+go=")</f>
        <v>#REF!</v>
      </c>
      <c r="L11" t="e">
        <f>AND('Listado General'!#REF!,"AAAAAHmf+gs=")</f>
        <v>#REF!</v>
      </c>
      <c r="M11" t="e">
        <f>AND('Listado General'!#REF!,"AAAAAHmf+gw=")</f>
        <v>#REF!</v>
      </c>
      <c r="N11" t="e">
        <f>AND('Listado General'!#REF!,"AAAAAHmf+g0=")</f>
        <v>#REF!</v>
      </c>
      <c r="O11" t="e">
        <f>AND('Listado General'!#REF!,"AAAAAHmf+g4=")</f>
        <v>#REF!</v>
      </c>
      <c r="P11" t="e">
        <f>IF('Listado General'!#REF!,"AAAAAHmf+g8=",0)</f>
        <v>#REF!</v>
      </c>
      <c r="Q11" t="e">
        <f>AND('Listado General'!#REF!,"AAAAAHmf+hA=")</f>
        <v>#REF!</v>
      </c>
      <c r="R11" t="e">
        <f>AND('Listado General'!#REF!,"AAAAAHmf+hE=")</f>
        <v>#REF!</v>
      </c>
      <c r="S11" t="e">
        <f>AND('Listado General'!#REF!,"AAAAAHmf+hI=")</f>
        <v>#REF!</v>
      </c>
      <c r="T11" t="e">
        <f>AND('Listado General'!#REF!,"AAAAAHmf+hM=")</f>
        <v>#REF!</v>
      </c>
      <c r="U11" t="e">
        <f>AND('Listado General'!#REF!,"AAAAAHmf+hQ=")</f>
        <v>#REF!</v>
      </c>
      <c r="V11" t="e">
        <f>AND('Listado General'!#REF!,"AAAAAHmf+hU=")</f>
        <v>#REF!</v>
      </c>
      <c r="W11" t="e">
        <f>AND('Listado General'!#REF!,"AAAAAHmf+hY=")</f>
        <v>#REF!</v>
      </c>
      <c r="X11" t="e">
        <f>AND('Listado General'!#REF!,"AAAAAHmf+hc=")</f>
        <v>#REF!</v>
      </c>
      <c r="Y11" t="e">
        <f>AND('Listado General'!#REF!,"AAAAAHmf+hg=")</f>
        <v>#REF!</v>
      </c>
      <c r="Z11" t="e">
        <f>IF('Listado General'!#REF!,"AAAAAHmf+hk=",0)</f>
        <v>#REF!</v>
      </c>
      <c r="AA11" t="e">
        <f>AND('Listado General'!#REF!,"AAAAAHmf+ho=")</f>
        <v>#REF!</v>
      </c>
      <c r="AB11" t="e">
        <f>AND('Listado General'!#REF!,"AAAAAHmf+hs=")</f>
        <v>#REF!</v>
      </c>
      <c r="AC11" t="e">
        <f>AND('Listado General'!#REF!,"AAAAAHmf+hw=")</f>
        <v>#REF!</v>
      </c>
      <c r="AD11" t="e">
        <f>AND('Listado General'!#REF!,"AAAAAHmf+h0=")</f>
        <v>#REF!</v>
      </c>
      <c r="AE11" t="e">
        <f>AND('Listado General'!#REF!,"AAAAAHmf+h4=")</f>
        <v>#REF!</v>
      </c>
      <c r="AF11" t="e">
        <f>AND('Listado General'!#REF!,"AAAAAHmf+h8=")</f>
        <v>#REF!</v>
      </c>
      <c r="AG11" t="e">
        <f>AND('Listado General'!#REF!,"AAAAAHmf+iA=")</f>
        <v>#REF!</v>
      </c>
      <c r="AH11" t="e">
        <f>AND('Listado General'!#REF!,"AAAAAHmf+iE=")</f>
        <v>#REF!</v>
      </c>
      <c r="AI11" t="e">
        <f>AND('Listado General'!#REF!,"AAAAAHmf+iI=")</f>
        <v>#REF!</v>
      </c>
      <c r="AJ11" t="e">
        <f>IF('Listado General'!#REF!,"AAAAAHmf+iM=",0)</f>
        <v>#REF!</v>
      </c>
      <c r="AK11" t="e">
        <f>AND('Listado General'!#REF!,"AAAAAHmf+iQ=")</f>
        <v>#REF!</v>
      </c>
      <c r="AL11" t="e">
        <f>AND('Listado General'!#REF!,"AAAAAHmf+iU=")</f>
        <v>#REF!</v>
      </c>
      <c r="AM11" t="e">
        <f>AND('Listado General'!#REF!,"AAAAAHmf+iY=")</f>
        <v>#REF!</v>
      </c>
      <c r="AN11" t="e">
        <f>AND('Listado General'!#REF!,"AAAAAHmf+ic=")</f>
        <v>#REF!</v>
      </c>
      <c r="AO11" t="e">
        <f>AND('Listado General'!#REF!,"AAAAAHmf+ig=")</f>
        <v>#REF!</v>
      </c>
      <c r="AP11" t="e">
        <f>AND('Listado General'!#REF!,"AAAAAHmf+ik=")</f>
        <v>#REF!</v>
      </c>
      <c r="AQ11" t="e">
        <f>AND('Listado General'!#REF!,"AAAAAHmf+io=")</f>
        <v>#REF!</v>
      </c>
      <c r="AR11" t="e">
        <f>AND('Listado General'!#REF!,"AAAAAHmf+is=")</f>
        <v>#REF!</v>
      </c>
      <c r="AS11" t="e">
        <f>AND('Listado General'!#REF!,"AAAAAHmf+iw=")</f>
        <v>#REF!</v>
      </c>
      <c r="AT11" t="e">
        <f>IF('Listado General'!#REF!,"AAAAAHmf+i0=",0)</f>
        <v>#REF!</v>
      </c>
      <c r="AU11" t="e">
        <f>AND('Listado General'!#REF!,"AAAAAHmf+i4=")</f>
        <v>#REF!</v>
      </c>
      <c r="AV11" t="e">
        <f>AND('Listado General'!#REF!,"AAAAAHmf+i8=")</f>
        <v>#REF!</v>
      </c>
      <c r="AW11" t="e">
        <f>AND('Listado General'!#REF!,"AAAAAHmf+jA=")</f>
        <v>#REF!</v>
      </c>
      <c r="AX11" t="e">
        <f>AND('Listado General'!#REF!,"AAAAAHmf+jE=")</f>
        <v>#REF!</v>
      </c>
      <c r="AY11" t="e">
        <f>AND('Listado General'!#REF!,"AAAAAHmf+jI=")</f>
        <v>#REF!</v>
      </c>
      <c r="AZ11" t="e">
        <f>AND('Listado General'!#REF!,"AAAAAHmf+jM=")</f>
        <v>#REF!</v>
      </c>
      <c r="BA11" t="e">
        <f>AND('Listado General'!#REF!,"AAAAAHmf+jQ=")</f>
        <v>#REF!</v>
      </c>
      <c r="BB11" t="e">
        <f>AND('Listado General'!#REF!,"AAAAAHmf+jU=")</f>
        <v>#REF!</v>
      </c>
      <c r="BC11" t="e">
        <f>AND('Listado General'!#REF!,"AAAAAHmf+jY=")</f>
        <v>#REF!</v>
      </c>
      <c r="BD11" t="e">
        <f>IF('Listado General'!#REF!,"AAAAAHmf+jc=",0)</f>
        <v>#REF!</v>
      </c>
      <c r="BE11" t="e">
        <f>AND('Listado General'!#REF!,"AAAAAHmf+jg=")</f>
        <v>#REF!</v>
      </c>
      <c r="BF11" t="e">
        <f>AND('Listado General'!#REF!,"AAAAAHmf+jk=")</f>
        <v>#REF!</v>
      </c>
      <c r="BG11" t="e">
        <f>AND('Listado General'!#REF!,"AAAAAHmf+jo=")</f>
        <v>#REF!</v>
      </c>
      <c r="BH11" t="e">
        <f>AND('Listado General'!#REF!,"AAAAAHmf+js=")</f>
        <v>#REF!</v>
      </c>
      <c r="BI11" t="e">
        <f>AND('Listado General'!#REF!,"AAAAAHmf+jw=")</f>
        <v>#REF!</v>
      </c>
      <c r="BJ11" t="e">
        <f>AND('Listado General'!#REF!,"AAAAAHmf+j0=")</f>
        <v>#REF!</v>
      </c>
      <c r="BK11" t="e">
        <f>AND('Listado General'!#REF!,"AAAAAHmf+j4=")</f>
        <v>#REF!</v>
      </c>
      <c r="BL11" t="e">
        <f>AND('Listado General'!#REF!,"AAAAAHmf+j8=")</f>
        <v>#REF!</v>
      </c>
      <c r="BM11" t="e">
        <f>AND('Listado General'!#REF!,"AAAAAHmf+kA=")</f>
        <v>#REF!</v>
      </c>
      <c r="BN11" t="e">
        <f>IF('Listado General'!#REF!,"AAAAAHmf+kE=",0)</f>
        <v>#REF!</v>
      </c>
      <c r="BO11" t="e">
        <f>AND('Listado General'!#REF!,"AAAAAHmf+kI=")</f>
        <v>#REF!</v>
      </c>
      <c r="BP11" t="e">
        <f>AND('Listado General'!#REF!,"AAAAAHmf+kM=")</f>
        <v>#REF!</v>
      </c>
      <c r="BQ11" t="e">
        <f>AND('Listado General'!#REF!,"AAAAAHmf+kQ=")</f>
        <v>#REF!</v>
      </c>
      <c r="BR11" t="e">
        <f>AND('Listado General'!#REF!,"AAAAAHmf+kU=")</f>
        <v>#REF!</v>
      </c>
      <c r="BS11" t="e">
        <f>AND('Listado General'!#REF!,"AAAAAHmf+kY=")</f>
        <v>#REF!</v>
      </c>
      <c r="BT11" t="e">
        <f>AND('Listado General'!#REF!,"AAAAAHmf+kc=")</f>
        <v>#REF!</v>
      </c>
      <c r="BU11" t="e">
        <f>AND('Listado General'!#REF!,"AAAAAHmf+kg=")</f>
        <v>#REF!</v>
      </c>
      <c r="BV11" t="e">
        <f>AND('Listado General'!#REF!,"AAAAAHmf+kk=")</f>
        <v>#REF!</v>
      </c>
      <c r="BW11" t="e">
        <f>AND('Listado General'!#REF!,"AAAAAHmf+ko=")</f>
        <v>#REF!</v>
      </c>
      <c r="BX11" t="e">
        <f>IF('Listado General'!#REF!,"AAAAAHmf+ks=",0)</f>
        <v>#REF!</v>
      </c>
      <c r="BY11" t="e">
        <f>AND('Listado General'!#REF!,"AAAAAHmf+kw=")</f>
        <v>#REF!</v>
      </c>
      <c r="BZ11" t="e">
        <f>AND('Listado General'!#REF!,"AAAAAHmf+k0=")</f>
        <v>#REF!</v>
      </c>
      <c r="CA11" t="e">
        <f>AND('Listado General'!#REF!,"AAAAAHmf+k4=")</f>
        <v>#REF!</v>
      </c>
      <c r="CB11" t="e">
        <f>AND('Listado General'!#REF!,"AAAAAHmf+k8=")</f>
        <v>#REF!</v>
      </c>
      <c r="CC11" t="e">
        <f>AND('Listado General'!#REF!,"AAAAAHmf+lA=")</f>
        <v>#REF!</v>
      </c>
      <c r="CD11" t="e">
        <f>AND('Listado General'!#REF!,"AAAAAHmf+lE=")</f>
        <v>#REF!</v>
      </c>
      <c r="CE11" t="e">
        <f>AND('Listado General'!#REF!,"AAAAAHmf+lI=")</f>
        <v>#REF!</v>
      </c>
      <c r="CF11" t="e">
        <f>AND('Listado General'!#REF!,"AAAAAHmf+lM=")</f>
        <v>#REF!</v>
      </c>
      <c r="CG11" t="e">
        <f>AND('Listado General'!#REF!,"AAAAAHmf+lQ=")</f>
        <v>#REF!</v>
      </c>
      <c r="CH11" t="e">
        <f>IF('Listado General'!#REF!,"AAAAAHmf+lU=",0)</f>
        <v>#REF!</v>
      </c>
      <c r="CI11" t="e">
        <f>AND('Listado General'!#REF!,"AAAAAHmf+lY=")</f>
        <v>#REF!</v>
      </c>
      <c r="CJ11" t="e">
        <f>AND('Listado General'!#REF!,"AAAAAHmf+lc=")</f>
        <v>#REF!</v>
      </c>
      <c r="CK11" t="e">
        <f>AND('Listado General'!#REF!,"AAAAAHmf+lg=")</f>
        <v>#REF!</v>
      </c>
      <c r="CL11" t="e">
        <f>AND('Listado General'!#REF!,"AAAAAHmf+lk=")</f>
        <v>#REF!</v>
      </c>
      <c r="CM11" t="e">
        <f>AND('Listado General'!#REF!,"AAAAAHmf+lo=")</f>
        <v>#REF!</v>
      </c>
      <c r="CN11" t="e">
        <f>AND('Listado General'!#REF!,"AAAAAHmf+ls=")</f>
        <v>#REF!</v>
      </c>
      <c r="CO11" t="e">
        <f>AND('Listado General'!#REF!,"AAAAAHmf+lw=")</f>
        <v>#REF!</v>
      </c>
      <c r="CP11" t="e">
        <f>AND('Listado General'!#REF!,"AAAAAHmf+l0=")</f>
        <v>#REF!</v>
      </c>
      <c r="CQ11" t="e">
        <f>AND('Listado General'!#REF!,"AAAAAHmf+l4=")</f>
        <v>#REF!</v>
      </c>
      <c r="CR11" t="e">
        <f>IF('Listado General'!#REF!,"AAAAAHmf+l8=",0)</f>
        <v>#REF!</v>
      </c>
      <c r="CS11" t="e">
        <f>AND('Listado General'!#REF!,"AAAAAHmf+mA=")</f>
        <v>#REF!</v>
      </c>
      <c r="CT11" t="e">
        <f>AND('Listado General'!#REF!,"AAAAAHmf+mE=")</f>
        <v>#REF!</v>
      </c>
      <c r="CU11" t="e">
        <f>AND('Listado General'!#REF!,"AAAAAHmf+mI=")</f>
        <v>#REF!</v>
      </c>
      <c r="CV11" t="e">
        <f>AND('Listado General'!#REF!,"AAAAAHmf+mM=")</f>
        <v>#REF!</v>
      </c>
      <c r="CW11" t="e">
        <f>AND('Listado General'!#REF!,"AAAAAHmf+mQ=")</f>
        <v>#REF!</v>
      </c>
      <c r="CX11" t="e">
        <f>AND('Listado General'!#REF!,"AAAAAHmf+mU=")</f>
        <v>#REF!</v>
      </c>
      <c r="CY11" t="e">
        <f>AND('Listado General'!#REF!,"AAAAAHmf+mY=")</f>
        <v>#REF!</v>
      </c>
      <c r="CZ11" t="e">
        <f>AND('Listado General'!#REF!,"AAAAAHmf+mc=")</f>
        <v>#REF!</v>
      </c>
      <c r="DA11" t="e">
        <f>AND('Listado General'!#REF!,"AAAAAHmf+mg=")</f>
        <v>#REF!</v>
      </c>
      <c r="DB11" t="e">
        <f>IF('Listado General'!#REF!,"AAAAAHmf+mk=",0)</f>
        <v>#REF!</v>
      </c>
      <c r="DC11" t="e">
        <f>AND('Listado General'!#REF!,"AAAAAHmf+mo=")</f>
        <v>#REF!</v>
      </c>
      <c r="DD11" t="e">
        <f>AND('Listado General'!#REF!,"AAAAAHmf+ms=")</f>
        <v>#REF!</v>
      </c>
      <c r="DE11" t="e">
        <f>AND('Listado General'!#REF!,"AAAAAHmf+mw=")</f>
        <v>#REF!</v>
      </c>
      <c r="DF11" t="e">
        <f>AND('Listado General'!#REF!,"AAAAAHmf+m0=")</f>
        <v>#REF!</v>
      </c>
      <c r="DG11" t="e">
        <f>AND('Listado General'!#REF!,"AAAAAHmf+m4=")</f>
        <v>#REF!</v>
      </c>
      <c r="DH11" t="e">
        <f>AND('Listado General'!#REF!,"AAAAAHmf+m8=")</f>
        <v>#REF!</v>
      </c>
      <c r="DI11" t="e">
        <f>AND('Listado General'!#REF!,"AAAAAHmf+nA=")</f>
        <v>#REF!</v>
      </c>
      <c r="DJ11" t="e">
        <f>AND('Listado General'!#REF!,"AAAAAHmf+nE=")</f>
        <v>#REF!</v>
      </c>
      <c r="DK11" t="e">
        <f>AND('Listado General'!#REF!,"AAAAAHmf+nI=")</f>
        <v>#REF!</v>
      </c>
      <c r="DL11" t="e">
        <f>IF('Listado General'!#REF!,"AAAAAHmf+nM=",0)</f>
        <v>#REF!</v>
      </c>
      <c r="DM11" t="e">
        <f>AND('Listado General'!#REF!,"AAAAAHmf+nQ=")</f>
        <v>#REF!</v>
      </c>
      <c r="DN11" t="e">
        <f>AND('Listado General'!#REF!,"AAAAAHmf+nU=")</f>
        <v>#REF!</v>
      </c>
      <c r="DO11" t="e">
        <f>AND('Listado General'!#REF!,"AAAAAHmf+nY=")</f>
        <v>#REF!</v>
      </c>
      <c r="DP11" t="e">
        <f>AND('Listado General'!#REF!,"AAAAAHmf+nc=")</f>
        <v>#REF!</v>
      </c>
      <c r="DQ11" t="e">
        <f>AND('Listado General'!#REF!,"AAAAAHmf+ng=")</f>
        <v>#REF!</v>
      </c>
      <c r="DR11" t="e">
        <f>AND('Listado General'!#REF!,"AAAAAHmf+nk=")</f>
        <v>#REF!</v>
      </c>
      <c r="DS11" t="e">
        <f>AND('Listado General'!#REF!,"AAAAAHmf+no=")</f>
        <v>#REF!</v>
      </c>
      <c r="DT11" t="e">
        <f>AND('Listado General'!#REF!,"AAAAAHmf+ns=")</f>
        <v>#REF!</v>
      </c>
      <c r="DU11" t="e">
        <f>AND('Listado General'!#REF!,"AAAAAHmf+nw=")</f>
        <v>#REF!</v>
      </c>
      <c r="DV11" t="e">
        <f>IF('Listado General'!#REF!,"AAAAAHmf+n0=",0)</f>
        <v>#REF!</v>
      </c>
      <c r="DW11" t="e">
        <f>AND('Listado General'!#REF!,"AAAAAHmf+n4=")</f>
        <v>#REF!</v>
      </c>
      <c r="DX11" t="e">
        <f>AND('Listado General'!#REF!,"AAAAAHmf+n8=")</f>
        <v>#REF!</v>
      </c>
      <c r="DY11" t="e">
        <f>AND('Listado General'!#REF!,"AAAAAHmf+oA=")</f>
        <v>#REF!</v>
      </c>
      <c r="DZ11" t="e">
        <f>AND('Listado General'!#REF!,"AAAAAHmf+oE=")</f>
        <v>#REF!</v>
      </c>
      <c r="EA11" t="e">
        <f>AND('Listado General'!#REF!,"AAAAAHmf+oI=")</f>
        <v>#REF!</v>
      </c>
      <c r="EB11" t="e">
        <f>AND('Listado General'!#REF!,"AAAAAHmf+oM=")</f>
        <v>#REF!</v>
      </c>
      <c r="EC11" t="e">
        <f>AND('Listado General'!#REF!,"AAAAAHmf+oQ=")</f>
        <v>#REF!</v>
      </c>
      <c r="ED11" t="e">
        <f>AND('Listado General'!#REF!,"AAAAAHmf+oU=")</f>
        <v>#REF!</v>
      </c>
      <c r="EE11" t="e">
        <f>AND('Listado General'!#REF!,"AAAAAHmf+oY=")</f>
        <v>#REF!</v>
      </c>
      <c r="EF11" t="e">
        <f>IF('Listado General'!#REF!,"AAAAAHmf+oc=",0)</f>
        <v>#REF!</v>
      </c>
      <c r="EG11" t="e">
        <f>AND('Listado General'!#REF!,"AAAAAHmf+og=")</f>
        <v>#REF!</v>
      </c>
      <c r="EH11" t="e">
        <f>AND('Listado General'!#REF!,"AAAAAHmf+ok=")</f>
        <v>#REF!</v>
      </c>
      <c r="EI11" t="e">
        <f>AND('Listado General'!#REF!,"AAAAAHmf+oo=")</f>
        <v>#REF!</v>
      </c>
      <c r="EJ11" t="e">
        <f>AND('Listado General'!#REF!,"AAAAAHmf+os=")</f>
        <v>#REF!</v>
      </c>
      <c r="EK11" t="e">
        <f>AND('Listado General'!#REF!,"AAAAAHmf+ow=")</f>
        <v>#REF!</v>
      </c>
      <c r="EL11" t="e">
        <f>AND('Listado General'!#REF!,"AAAAAHmf+o0=")</f>
        <v>#REF!</v>
      </c>
      <c r="EM11" t="e">
        <f>AND('Listado General'!#REF!,"AAAAAHmf+o4=")</f>
        <v>#REF!</v>
      </c>
      <c r="EN11" t="e">
        <f>AND('Listado General'!#REF!,"AAAAAHmf+o8=")</f>
        <v>#REF!</v>
      </c>
      <c r="EO11" t="e">
        <f>AND('Listado General'!#REF!,"AAAAAHmf+pA=")</f>
        <v>#REF!</v>
      </c>
      <c r="EP11" t="e">
        <f>IF('Listado General'!#REF!,"AAAAAHmf+pE=",0)</f>
        <v>#REF!</v>
      </c>
      <c r="EQ11" t="e">
        <f>AND('Listado General'!#REF!,"AAAAAHmf+pI=")</f>
        <v>#REF!</v>
      </c>
      <c r="ER11" t="e">
        <f>AND('Listado General'!#REF!,"AAAAAHmf+pM=")</f>
        <v>#REF!</v>
      </c>
      <c r="ES11" t="e">
        <f>AND('Listado General'!#REF!,"AAAAAHmf+pQ=")</f>
        <v>#REF!</v>
      </c>
      <c r="ET11" t="e">
        <f>AND('Listado General'!#REF!,"AAAAAHmf+pU=")</f>
        <v>#REF!</v>
      </c>
      <c r="EU11" t="e">
        <f>AND('Listado General'!#REF!,"AAAAAHmf+pY=")</f>
        <v>#REF!</v>
      </c>
      <c r="EV11" t="e">
        <f>AND('Listado General'!#REF!,"AAAAAHmf+pc=")</f>
        <v>#REF!</v>
      </c>
      <c r="EW11" t="e">
        <f>AND('Listado General'!#REF!,"AAAAAHmf+pg=")</f>
        <v>#REF!</v>
      </c>
      <c r="EX11" t="e">
        <f>AND('Listado General'!#REF!,"AAAAAHmf+pk=")</f>
        <v>#REF!</v>
      </c>
      <c r="EY11" t="e">
        <f>AND('Listado General'!#REF!,"AAAAAHmf+po=")</f>
        <v>#REF!</v>
      </c>
      <c r="EZ11" t="e">
        <f>IF('Listado General'!#REF!,"AAAAAHmf+ps=",0)</f>
        <v>#REF!</v>
      </c>
      <c r="FA11" t="e">
        <f>AND('Listado General'!#REF!,"AAAAAHmf+pw=")</f>
        <v>#REF!</v>
      </c>
      <c r="FB11" t="e">
        <f>AND('Listado General'!#REF!,"AAAAAHmf+p0=")</f>
        <v>#REF!</v>
      </c>
      <c r="FC11" t="e">
        <f>AND('Listado General'!#REF!,"AAAAAHmf+p4=")</f>
        <v>#REF!</v>
      </c>
      <c r="FD11" t="e">
        <f>AND('Listado General'!#REF!,"AAAAAHmf+p8=")</f>
        <v>#REF!</v>
      </c>
      <c r="FE11" t="e">
        <f>AND('Listado General'!#REF!,"AAAAAHmf+qA=")</f>
        <v>#REF!</v>
      </c>
      <c r="FF11" t="e">
        <f>AND('Listado General'!#REF!,"AAAAAHmf+qE=")</f>
        <v>#REF!</v>
      </c>
      <c r="FG11" t="e">
        <f>AND('Listado General'!#REF!,"AAAAAHmf+qI=")</f>
        <v>#REF!</v>
      </c>
      <c r="FH11" t="e">
        <f>AND('Listado General'!#REF!,"AAAAAHmf+qM=")</f>
        <v>#REF!</v>
      </c>
      <c r="FI11" t="e">
        <f>AND('Listado General'!#REF!,"AAAAAHmf+qQ=")</f>
        <v>#REF!</v>
      </c>
      <c r="FJ11" t="e">
        <f>IF('Listado General'!#REF!,"AAAAAHmf+qU=",0)</f>
        <v>#REF!</v>
      </c>
      <c r="FK11" t="e">
        <f>AND('Listado General'!#REF!,"AAAAAHmf+qY=")</f>
        <v>#REF!</v>
      </c>
      <c r="FL11" t="e">
        <f>AND('Listado General'!#REF!,"AAAAAHmf+qc=")</f>
        <v>#REF!</v>
      </c>
      <c r="FM11" t="e">
        <f>AND('Listado General'!#REF!,"AAAAAHmf+qg=")</f>
        <v>#REF!</v>
      </c>
      <c r="FN11" t="e">
        <f>AND('Listado General'!#REF!,"AAAAAHmf+qk=")</f>
        <v>#REF!</v>
      </c>
      <c r="FO11" t="e">
        <f>AND('Listado General'!#REF!,"AAAAAHmf+qo=")</f>
        <v>#REF!</v>
      </c>
      <c r="FP11" t="e">
        <f>AND('Listado General'!#REF!,"AAAAAHmf+qs=")</f>
        <v>#REF!</v>
      </c>
      <c r="FQ11" t="e">
        <f>AND('Listado General'!#REF!,"AAAAAHmf+qw=")</f>
        <v>#REF!</v>
      </c>
      <c r="FR11" t="e">
        <f>AND('Listado General'!#REF!,"AAAAAHmf+q0=")</f>
        <v>#REF!</v>
      </c>
      <c r="FS11" t="e">
        <f>AND('Listado General'!#REF!,"AAAAAHmf+q4=")</f>
        <v>#REF!</v>
      </c>
      <c r="FT11" t="e">
        <f>IF('Listado General'!#REF!,"AAAAAHmf+q8=",0)</f>
        <v>#REF!</v>
      </c>
      <c r="FU11" t="e">
        <f>AND('Listado General'!#REF!,"AAAAAHmf+rA=")</f>
        <v>#REF!</v>
      </c>
      <c r="FV11" t="e">
        <f>AND('Listado General'!#REF!,"AAAAAHmf+rE=")</f>
        <v>#REF!</v>
      </c>
      <c r="FW11" t="e">
        <f>AND('Listado General'!#REF!,"AAAAAHmf+rI=")</f>
        <v>#REF!</v>
      </c>
      <c r="FX11" t="e">
        <f>AND('Listado General'!#REF!,"AAAAAHmf+rM=")</f>
        <v>#REF!</v>
      </c>
      <c r="FY11" t="e">
        <f>AND('Listado General'!#REF!,"AAAAAHmf+rQ=")</f>
        <v>#REF!</v>
      </c>
      <c r="FZ11" t="e">
        <f>AND('Listado General'!#REF!,"AAAAAHmf+rU=")</f>
        <v>#REF!</v>
      </c>
      <c r="GA11" t="e">
        <f>AND('Listado General'!#REF!,"AAAAAHmf+rY=")</f>
        <v>#REF!</v>
      </c>
      <c r="GB11" t="e">
        <f>AND('Listado General'!#REF!,"AAAAAHmf+rc=")</f>
        <v>#REF!</v>
      </c>
      <c r="GC11" t="e">
        <f>AND('Listado General'!#REF!,"AAAAAHmf+rg=")</f>
        <v>#REF!</v>
      </c>
      <c r="GD11" t="e">
        <f>IF('Listado General'!#REF!,"AAAAAHmf+rk=",0)</f>
        <v>#REF!</v>
      </c>
      <c r="GE11" t="e">
        <f>AND('Listado General'!#REF!,"AAAAAHmf+ro=")</f>
        <v>#REF!</v>
      </c>
      <c r="GF11" t="e">
        <f>AND('Listado General'!#REF!,"AAAAAHmf+rs=")</f>
        <v>#REF!</v>
      </c>
      <c r="GG11" t="e">
        <f>AND('Listado General'!#REF!,"AAAAAHmf+rw=")</f>
        <v>#REF!</v>
      </c>
      <c r="GH11" t="e">
        <f>AND('Listado General'!#REF!,"AAAAAHmf+r0=")</f>
        <v>#REF!</v>
      </c>
      <c r="GI11" t="e">
        <f>AND('Listado General'!#REF!,"AAAAAHmf+r4=")</f>
        <v>#REF!</v>
      </c>
      <c r="GJ11" t="e">
        <f>AND('Listado General'!#REF!,"AAAAAHmf+r8=")</f>
        <v>#REF!</v>
      </c>
      <c r="GK11" t="e">
        <f>AND('Listado General'!#REF!,"AAAAAHmf+sA=")</f>
        <v>#REF!</v>
      </c>
      <c r="GL11" t="e">
        <f>AND('Listado General'!#REF!,"AAAAAHmf+sE=")</f>
        <v>#REF!</v>
      </c>
      <c r="GM11" t="e">
        <f>AND('Listado General'!#REF!,"AAAAAHmf+sI=")</f>
        <v>#REF!</v>
      </c>
      <c r="GN11" t="e">
        <f>IF('Listado General'!#REF!,"AAAAAHmf+sM=",0)</f>
        <v>#REF!</v>
      </c>
      <c r="GO11" t="e">
        <f>AND('Listado General'!#REF!,"AAAAAHmf+sQ=")</f>
        <v>#REF!</v>
      </c>
      <c r="GP11" t="e">
        <f>AND('Listado General'!#REF!,"AAAAAHmf+sU=")</f>
        <v>#REF!</v>
      </c>
      <c r="GQ11" t="e">
        <f>AND('Listado General'!#REF!,"AAAAAHmf+sY=")</f>
        <v>#REF!</v>
      </c>
      <c r="GR11" t="e">
        <f>AND('Listado General'!#REF!,"AAAAAHmf+sc=")</f>
        <v>#REF!</v>
      </c>
      <c r="GS11" t="e">
        <f>AND('Listado General'!#REF!,"AAAAAHmf+sg=")</f>
        <v>#REF!</v>
      </c>
      <c r="GT11" t="e">
        <f>AND('Listado General'!#REF!,"AAAAAHmf+sk=")</f>
        <v>#REF!</v>
      </c>
      <c r="GU11" t="e">
        <f>AND('Listado General'!#REF!,"AAAAAHmf+so=")</f>
        <v>#REF!</v>
      </c>
      <c r="GV11" t="e">
        <f>AND('Listado General'!#REF!,"AAAAAHmf+ss=")</f>
        <v>#REF!</v>
      </c>
      <c r="GW11" t="e">
        <f>AND('Listado General'!#REF!,"AAAAAHmf+sw=")</f>
        <v>#REF!</v>
      </c>
      <c r="GX11" t="e">
        <f>IF('Listado General'!#REF!,"AAAAAHmf+s0=",0)</f>
        <v>#REF!</v>
      </c>
      <c r="GY11" t="e">
        <f>AND('Listado General'!#REF!,"AAAAAHmf+s4=")</f>
        <v>#REF!</v>
      </c>
      <c r="GZ11" t="e">
        <f>AND('Listado General'!#REF!,"AAAAAHmf+s8=")</f>
        <v>#REF!</v>
      </c>
      <c r="HA11" t="e">
        <f>AND('Listado General'!#REF!,"AAAAAHmf+tA=")</f>
        <v>#REF!</v>
      </c>
      <c r="HB11" t="e">
        <f>AND('Listado General'!#REF!,"AAAAAHmf+tE=")</f>
        <v>#REF!</v>
      </c>
      <c r="HC11" t="e">
        <f>AND('Listado General'!#REF!,"AAAAAHmf+tI=")</f>
        <v>#REF!</v>
      </c>
      <c r="HD11" t="e">
        <f>AND('Listado General'!#REF!,"AAAAAHmf+tM=")</f>
        <v>#REF!</v>
      </c>
      <c r="HE11" t="e">
        <f>AND('Listado General'!#REF!,"AAAAAHmf+tQ=")</f>
        <v>#REF!</v>
      </c>
      <c r="HF11" t="e">
        <f>AND('Listado General'!#REF!,"AAAAAHmf+tU=")</f>
        <v>#REF!</v>
      </c>
      <c r="HG11" t="e">
        <f>AND('Listado General'!#REF!,"AAAAAHmf+tY=")</f>
        <v>#REF!</v>
      </c>
      <c r="HH11" t="e">
        <f>IF('Listado General'!#REF!,"AAAAAHmf+tc=",0)</f>
        <v>#REF!</v>
      </c>
      <c r="HI11" t="e">
        <f>AND('Listado General'!#REF!,"AAAAAHmf+tg=")</f>
        <v>#REF!</v>
      </c>
      <c r="HJ11" t="e">
        <f>AND('Listado General'!#REF!,"AAAAAHmf+tk=")</f>
        <v>#REF!</v>
      </c>
      <c r="HK11" t="e">
        <f>AND('Listado General'!#REF!,"AAAAAHmf+to=")</f>
        <v>#REF!</v>
      </c>
      <c r="HL11" t="e">
        <f>AND('Listado General'!#REF!,"AAAAAHmf+ts=")</f>
        <v>#REF!</v>
      </c>
      <c r="HM11" t="e">
        <f>AND('Listado General'!#REF!,"AAAAAHmf+tw=")</f>
        <v>#REF!</v>
      </c>
      <c r="HN11" t="e">
        <f>AND('Listado General'!#REF!,"AAAAAHmf+t0=")</f>
        <v>#REF!</v>
      </c>
      <c r="HO11" t="e">
        <f>AND('Listado General'!#REF!,"AAAAAHmf+t4=")</f>
        <v>#REF!</v>
      </c>
      <c r="HP11" t="e">
        <f>AND('Listado General'!#REF!,"AAAAAHmf+t8=")</f>
        <v>#REF!</v>
      </c>
      <c r="HQ11" t="e">
        <f>AND('Listado General'!#REF!,"AAAAAHmf+uA=")</f>
        <v>#REF!</v>
      </c>
      <c r="HR11" t="e">
        <f>IF('Listado General'!#REF!,"AAAAAHmf+uE=",0)</f>
        <v>#REF!</v>
      </c>
      <c r="HS11" t="e">
        <f>AND('Listado General'!#REF!,"AAAAAHmf+uI=")</f>
        <v>#REF!</v>
      </c>
      <c r="HT11" t="e">
        <f>AND('Listado General'!#REF!,"AAAAAHmf+uM=")</f>
        <v>#REF!</v>
      </c>
      <c r="HU11" t="e">
        <f>AND('Listado General'!#REF!,"AAAAAHmf+uQ=")</f>
        <v>#REF!</v>
      </c>
      <c r="HV11" t="e">
        <f>AND('Listado General'!#REF!,"AAAAAHmf+uU=")</f>
        <v>#REF!</v>
      </c>
      <c r="HW11" t="e">
        <f>AND('Listado General'!#REF!,"AAAAAHmf+uY=")</f>
        <v>#REF!</v>
      </c>
      <c r="HX11" t="e">
        <f>AND('Listado General'!#REF!,"AAAAAHmf+uc=")</f>
        <v>#REF!</v>
      </c>
      <c r="HY11" t="e">
        <f>AND('Listado General'!#REF!,"AAAAAHmf+ug=")</f>
        <v>#REF!</v>
      </c>
      <c r="HZ11" t="e">
        <f>AND('Listado General'!#REF!,"AAAAAHmf+uk=")</f>
        <v>#REF!</v>
      </c>
      <c r="IA11" t="e">
        <f>AND('Listado General'!#REF!,"AAAAAHmf+uo=")</f>
        <v>#REF!</v>
      </c>
      <c r="IB11" t="e">
        <f>IF('Listado General'!#REF!,"AAAAAHmf+us=",0)</f>
        <v>#REF!</v>
      </c>
      <c r="IC11" t="e">
        <f>AND('Listado General'!#REF!,"AAAAAHmf+uw=")</f>
        <v>#REF!</v>
      </c>
      <c r="ID11" t="e">
        <f>AND('Listado General'!#REF!,"AAAAAHmf+u0=")</f>
        <v>#REF!</v>
      </c>
      <c r="IE11" t="e">
        <f>AND('Listado General'!#REF!,"AAAAAHmf+u4=")</f>
        <v>#REF!</v>
      </c>
      <c r="IF11" t="e">
        <f>AND('Listado General'!#REF!,"AAAAAHmf+u8=")</f>
        <v>#REF!</v>
      </c>
      <c r="IG11" t="e">
        <f>AND('Listado General'!#REF!,"AAAAAHmf+vA=")</f>
        <v>#REF!</v>
      </c>
      <c r="IH11" t="e">
        <f>AND('Listado General'!#REF!,"AAAAAHmf+vE=")</f>
        <v>#REF!</v>
      </c>
      <c r="II11" t="e">
        <f>AND('Listado General'!#REF!,"AAAAAHmf+vI=")</f>
        <v>#REF!</v>
      </c>
      <c r="IJ11" t="e">
        <f>AND('Listado General'!#REF!,"AAAAAHmf+vM=")</f>
        <v>#REF!</v>
      </c>
      <c r="IK11" t="e">
        <f>AND('Listado General'!#REF!,"AAAAAHmf+vQ=")</f>
        <v>#REF!</v>
      </c>
      <c r="IL11" t="e">
        <f>IF('Listado General'!#REF!,"AAAAAHmf+vU=",0)</f>
        <v>#REF!</v>
      </c>
      <c r="IM11" t="e">
        <f>AND('Listado General'!#REF!,"AAAAAHmf+vY=")</f>
        <v>#REF!</v>
      </c>
      <c r="IN11" t="e">
        <f>AND('Listado General'!#REF!,"AAAAAHmf+vc=")</f>
        <v>#REF!</v>
      </c>
      <c r="IO11" t="e">
        <f>AND('Listado General'!#REF!,"AAAAAHmf+vg=")</f>
        <v>#REF!</v>
      </c>
      <c r="IP11" t="e">
        <f>AND('Listado General'!#REF!,"AAAAAHmf+vk=")</f>
        <v>#REF!</v>
      </c>
      <c r="IQ11" t="e">
        <f>AND('Listado General'!#REF!,"AAAAAHmf+vo=")</f>
        <v>#REF!</v>
      </c>
      <c r="IR11" t="e">
        <f>AND('Listado General'!#REF!,"AAAAAHmf+vs=")</f>
        <v>#REF!</v>
      </c>
      <c r="IS11" t="e">
        <f>AND('Listado General'!#REF!,"AAAAAHmf+vw=")</f>
        <v>#REF!</v>
      </c>
      <c r="IT11" t="e">
        <f>AND('Listado General'!#REF!,"AAAAAHmf+v0=")</f>
        <v>#REF!</v>
      </c>
      <c r="IU11" t="e">
        <f>AND('Listado General'!#REF!,"AAAAAHmf+v4=")</f>
        <v>#REF!</v>
      </c>
      <c r="IV11" t="e">
        <f>IF('Listado General'!#REF!,"AAAAAHmf+v8=",0)</f>
        <v>#REF!</v>
      </c>
    </row>
    <row r="12" spans="1:256" ht="12.75">
      <c r="A12" t="e">
        <f>AND('Listado General'!#REF!,"AAAAAF1//wA=")</f>
        <v>#REF!</v>
      </c>
      <c r="B12" t="e">
        <f>AND('Listado General'!#REF!,"AAAAAF1//wE=")</f>
        <v>#REF!</v>
      </c>
      <c r="C12" t="e">
        <f>AND('Listado General'!#REF!,"AAAAAF1//wI=")</f>
        <v>#REF!</v>
      </c>
      <c r="D12" t="e">
        <f>AND('Listado General'!#REF!,"AAAAAF1//wM=")</f>
        <v>#REF!</v>
      </c>
      <c r="E12" t="e">
        <f>AND('Listado General'!#REF!,"AAAAAF1//wQ=")</f>
        <v>#REF!</v>
      </c>
      <c r="F12" t="e">
        <f>AND('Listado General'!#REF!,"AAAAAF1//wU=")</f>
        <v>#REF!</v>
      </c>
      <c r="G12" t="e">
        <f>AND('Listado General'!#REF!,"AAAAAF1//wY=")</f>
        <v>#REF!</v>
      </c>
      <c r="H12" t="e">
        <f>AND('Listado General'!#REF!,"AAAAAF1//wc=")</f>
        <v>#REF!</v>
      </c>
      <c r="I12" t="e">
        <f>AND('Listado General'!#REF!,"AAAAAF1//wg=")</f>
        <v>#REF!</v>
      </c>
      <c r="J12" t="e">
        <f>IF('Listado General'!#REF!,"AAAAAF1//wk=",0)</f>
        <v>#REF!</v>
      </c>
      <c r="K12" t="e">
        <f>AND('Listado General'!#REF!,"AAAAAF1//wo=")</f>
        <v>#REF!</v>
      </c>
      <c r="L12" t="e">
        <f>AND('Listado General'!#REF!,"AAAAAF1//ws=")</f>
        <v>#REF!</v>
      </c>
      <c r="M12" t="e">
        <f>AND('Listado General'!#REF!,"AAAAAF1//ww=")</f>
        <v>#REF!</v>
      </c>
      <c r="N12" t="e">
        <f>AND('Listado General'!#REF!,"AAAAAF1//w0=")</f>
        <v>#REF!</v>
      </c>
      <c r="O12" t="e">
        <f>AND('Listado General'!#REF!,"AAAAAF1//w4=")</f>
        <v>#REF!</v>
      </c>
      <c r="P12" t="e">
        <f>AND('Listado General'!#REF!,"AAAAAF1//w8=")</f>
        <v>#REF!</v>
      </c>
      <c r="Q12" t="e">
        <f>AND('Listado General'!#REF!,"AAAAAF1//xA=")</f>
        <v>#REF!</v>
      </c>
      <c r="R12" t="e">
        <f>AND('Listado General'!#REF!,"AAAAAF1//xE=")</f>
        <v>#REF!</v>
      </c>
      <c r="S12" t="e">
        <f>AND('Listado General'!#REF!,"AAAAAF1//xI=")</f>
        <v>#REF!</v>
      </c>
      <c r="T12" t="e">
        <f>IF('Listado General'!#REF!,"AAAAAF1//xM=",0)</f>
        <v>#REF!</v>
      </c>
      <c r="U12" t="e">
        <f>AND('Listado General'!#REF!,"AAAAAF1//xQ=")</f>
        <v>#REF!</v>
      </c>
      <c r="V12" t="e">
        <f>AND('Listado General'!#REF!,"AAAAAF1//xU=")</f>
        <v>#REF!</v>
      </c>
      <c r="W12" t="e">
        <f>AND('Listado General'!#REF!,"AAAAAF1//xY=")</f>
        <v>#REF!</v>
      </c>
      <c r="X12" t="e">
        <f>AND('Listado General'!#REF!,"AAAAAF1//xc=")</f>
        <v>#REF!</v>
      </c>
      <c r="Y12" t="e">
        <f>AND('Listado General'!#REF!,"AAAAAF1//xg=")</f>
        <v>#REF!</v>
      </c>
      <c r="Z12" t="e">
        <f>AND('Listado General'!#REF!,"AAAAAF1//xk=")</f>
        <v>#REF!</v>
      </c>
      <c r="AA12" t="e">
        <f>AND('Listado General'!#REF!,"AAAAAF1//xo=")</f>
        <v>#REF!</v>
      </c>
      <c r="AB12" t="e">
        <f>AND('Listado General'!#REF!,"AAAAAF1//xs=")</f>
        <v>#REF!</v>
      </c>
      <c r="AC12" t="e">
        <f>AND('Listado General'!#REF!,"AAAAAF1//xw=")</f>
        <v>#REF!</v>
      </c>
      <c r="AD12" t="e">
        <f>IF('Listado General'!#REF!,"AAAAAF1//x0=",0)</f>
        <v>#REF!</v>
      </c>
      <c r="AE12" t="e">
        <f>AND('Listado General'!#REF!,"AAAAAF1//x4=")</f>
        <v>#REF!</v>
      </c>
      <c r="AF12" t="e">
        <f>AND('Listado General'!#REF!,"AAAAAF1//x8=")</f>
        <v>#REF!</v>
      </c>
      <c r="AG12" t="e">
        <f>AND('Listado General'!#REF!,"AAAAAF1//yA=")</f>
        <v>#REF!</v>
      </c>
      <c r="AH12" t="e">
        <f>AND('Listado General'!#REF!,"AAAAAF1//yE=")</f>
        <v>#REF!</v>
      </c>
      <c r="AI12" t="e">
        <f>AND('Listado General'!#REF!,"AAAAAF1//yI=")</f>
        <v>#REF!</v>
      </c>
      <c r="AJ12" t="e">
        <f>AND('Listado General'!#REF!,"AAAAAF1//yM=")</f>
        <v>#REF!</v>
      </c>
      <c r="AK12" t="e">
        <f>AND('Listado General'!#REF!,"AAAAAF1//yQ=")</f>
        <v>#REF!</v>
      </c>
      <c r="AL12" t="e">
        <f>AND('Listado General'!#REF!,"AAAAAF1//yU=")</f>
        <v>#REF!</v>
      </c>
      <c r="AM12" t="e">
        <f>AND('Listado General'!#REF!,"AAAAAF1//yY=")</f>
        <v>#REF!</v>
      </c>
      <c r="AN12" t="e">
        <f>IF('Listado General'!#REF!,"AAAAAF1//yc=",0)</f>
        <v>#REF!</v>
      </c>
      <c r="AO12" t="e">
        <f>AND('Listado General'!#REF!,"AAAAAF1//yg=")</f>
        <v>#REF!</v>
      </c>
      <c r="AP12" t="e">
        <f>AND('Listado General'!#REF!,"AAAAAF1//yk=")</f>
        <v>#REF!</v>
      </c>
      <c r="AQ12" t="e">
        <f>AND('Listado General'!#REF!,"AAAAAF1//yo=")</f>
        <v>#REF!</v>
      </c>
      <c r="AR12" t="e">
        <f>AND('Listado General'!#REF!,"AAAAAF1//ys=")</f>
        <v>#REF!</v>
      </c>
      <c r="AS12" t="e">
        <f>AND('Listado General'!#REF!,"AAAAAF1//yw=")</f>
        <v>#REF!</v>
      </c>
      <c r="AT12" t="e">
        <f>AND('Listado General'!#REF!,"AAAAAF1//y0=")</f>
        <v>#REF!</v>
      </c>
      <c r="AU12" t="e">
        <f>AND('Listado General'!#REF!,"AAAAAF1//y4=")</f>
        <v>#REF!</v>
      </c>
      <c r="AV12" t="e">
        <f>AND('Listado General'!#REF!,"AAAAAF1//y8=")</f>
        <v>#REF!</v>
      </c>
      <c r="AW12" t="e">
        <f>AND('Listado General'!#REF!,"AAAAAF1//zA=")</f>
        <v>#REF!</v>
      </c>
      <c r="AX12" t="e">
        <f>IF('Listado General'!#REF!,"AAAAAF1//zE=",0)</f>
        <v>#REF!</v>
      </c>
      <c r="AY12" t="e">
        <f>AND('Listado General'!#REF!,"AAAAAF1//zI=")</f>
        <v>#REF!</v>
      </c>
      <c r="AZ12" t="e">
        <f>AND('Listado General'!#REF!,"AAAAAF1//zM=")</f>
        <v>#REF!</v>
      </c>
      <c r="BA12" t="e">
        <f>AND('Listado General'!#REF!,"AAAAAF1//zQ=")</f>
        <v>#REF!</v>
      </c>
      <c r="BB12" t="e">
        <f>AND('Listado General'!#REF!,"AAAAAF1//zU=")</f>
        <v>#REF!</v>
      </c>
      <c r="BC12" t="e">
        <f>AND('Listado General'!#REF!,"AAAAAF1//zY=")</f>
        <v>#REF!</v>
      </c>
      <c r="BD12" t="e">
        <f>AND('Listado General'!#REF!,"AAAAAF1//zc=")</f>
        <v>#REF!</v>
      </c>
      <c r="BE12" t="e">
        <f>AND('Listado General'!#REF!,"AAAAAF1//zg=")</f>
        <v>#REF!</v>
      </c>
      <c r="BF12" t="e">
        <f>AND('Listado General'!#REF!,"AAAAAF1//zk=")</f>
        <v>#REF!</v>
      </c>
      <c r="BG12" t="e">
        <f>AND('Listado General'!#REF!,"AAAAAF1//zo=")</f>
        <v>#REF!</v>
      </c>
      <c r="BH12" t="e">
        <f>IF('Listado General'!#REF!,"AAAAAF1//zs=",0)</f>
        <v>#REF!</v>
      </c>
      <c r="BI12" t="e">
        <f>AND('Listado General'!#REF!,"AAAAAF1//zw=")</f>
        <v>#REF!</v>
      </c>
      <c r="BJ12" t="e">
        <f>AND('Listado General'!#REF!,"AAAAAF1//z0=")</f>
        <v>#REF!</v>
      </c>
      <c r="BK12" t="e">
        <f>AND('Listado General'!#REF!,"AAAAAF1//z4=")</f>
        <v>#REF!</v>
      </c>
      <c r="BL12" t="e">
        <f>AND('Listado General'!#REF!,"AAAAAF1//z8=")</f>
        <v>#REF!</v>
      </c>
      <c r="BM12" t="e">
        <f>AND('Listado General'!#REF!,"AAAAAF1//0A=")</f>
        <v>#REF!</v>
      </c>
      <c r="BN12" t="e">
        <f>AND('Listado General'!#REF!,"AAAAAF1//0E=")</f>
        <v>#REF!</v>
      </c>
      <c r="BO12" t="e">
        <f>AND('Listado General'!#REF!,"AAAAAF1//0I=")</f>
        <v>#REF!</v>
      </c>
      <c r="BP12" t="e">
        <f>AND('Listado General'!#REF!,"AAAAAF1//0M=")</f>
        <v>#REF!</v>
      </c>
      <c r="BQ12" t="e">
        <f>AND('Listado General'!#REF!,"AAAAAF1//0Q=")</f>
        <v>#REF!</v>
      </c>
      <c r="BR12" t="e">
        <f>IF('Listado General'!#REF!,"AAAAAF1//0U=",0)</f>
        <v>#REF!</v>
      </c>
      <c r="BS12" t="e">
        <f>AND('Listado General'!#REF!,"AAAAAF1//0Y=")</f>
        <v>#REF!</v>
      </c>
      <c r="BT12" t="e">
        <f>AND('Listado General'!#REF!,"AAAAAF1//0c=")</f>
        <v>#REF!</v>
      </c>
      <c r="BU12" t="e">
        <f>AND('Listado General'!#REF!,"AAAAAF1//0g=")</f>
        <v>#REF!</v>
      </c>
      <c r="BV12" t="e">
        <f>AND('Listado General'!#REF!,"AAAAAF1//0k=")</f>
        <v>#REF!</v>
      </c>
      <c r="BW12" t="e">
        <f>AND('Listado General'!#REF!,"AAAAAF1//0o=")</f>
        <v>#REF!</v>
      </c>
      <c r="BX12" t="e">
        <f>AND('Listado General'!#REF!,"AAAAAF1//0s=")</f>
        <v>#REF!</v>
      </c>
      <c r="BY12" t="e">
        <f>AND('Listado General'!#REF!,"AAAAAF1//0w=")</f>
        <v>#REF!</v>
      </c>
      <c r="BZ12" t="e">
        <f>AND('Listado General'!#REF!,"AAAAAF1//00=")</f>
        <v>#REF!</v>
      </c>
      <c r="CA12" t="e">
        <f>AND('Listado General'!#REF!,"AAAAAF1//04=")</f>
        <v>#REF!</v>
      </c>
      <c r="CB12" t="e">
        <f>IF('Listado General'!#REF!,"AAAAAF1//08=",0)</f>
        <v>#REF!</v>
      </c>
      <c r="CC12" t="e">
        <f>AND('Listado General'!#REF!,"AAAAAF1//1A=")</f>
        <v>#REF!</v>
      </c>
      <c r="CD12" t="e">
        <f>AND('Listado General'!#REF!,"AAAAAF1//1E=")</f>
        <v>#REF!</v>
      </c>
      <c r="CE12" t="e">
        <f>AND('Listado General'!#REF!,"AAAAAF1//1I=")</f>
        <v>#REF!</v>
      </c>
      <c r="CF12" t="e">
        <f>AND('Listado General'!#REF!,"AAAAAF1//1M=")</f>
        <v>#REF!</v>
      </c>
      <c r="CG12" t="e">
        <f>AND('Listado General'!#REF!,"AAAAAF1//1Q=")</f>
        <v>#REF!</v>
      </c>
      <c r="CH12" t="e">
        <f>AND('Listado General'!#REF!,"AAAAAF1//1U=")</f>
        <v>#REF!</v>
      </c>
      <c r="CI12" t="e">
        <f>AND('Listado General'!#REF!,"AAAAAF1//1Y=")</f>
        <v>#REF!</v>
      </c>
      <c r="CJ12" t="e">
        <f>AND('Listado General'!#REF!,"AAAAAF1//1c=")</f>
        <v>#REF!</v>
      </c>
      <c r="CK12" t="e">
        <f>AND('Listado General'!#REF!,"AAAAAF1//1g=")</f>
        <v>#REF!</v>
      </c>
      <c r="CL12" t="e">
        <f>IF('Listado General'!#REF!,"AAAAAF1//1k=",0)</f>
        <v>#REF!</v>
      </c>
      <c r="CM12" t="e">
        <f>AND('Listado General'!#REF!,"AAAAAF1//1o=")</f>
        <v>#REF!</v>
      </c>
      <c r="CN12" t="e">
        <f>AND('Listado General'!#REF!,"AAAAAF1//1s=")</f>
        <v>#REF!</v>
      </c>
      <c r="CO12" t="e">
        <f>AND('Listado General'!#REF!,"AAAAAF1//1w=")</f>
        <v>#REF!</v>
      </c>
      <c r="CP12" t="e">
        <f>AND('Listado General'!#REF!,"AAAAAF1//10=")</f>
        <v>#REF!</v>
      </c>
      <c r="CQ12" t="e">
        <f>AND('Listado General'!#REF!,"AAAAAF1//14=")</f>
        <v>#REF!</v>
      </c>
      <c r="CR12" t="e">
        <f>AND('Listado General'!#REF!,"AAAAAF1//18=")</f>
        <v>#REF!</v>
      </c>
      <c r="CS12" t="e">
        <f>AND('Listado General'!#REF!,"AAAAAF1//2A=")</f>
        <v>#REF!</v>
      </c>
      <c r="CT12" t="e">
        <f>AND('Listado General'!#REF!,"AAAAAF1//2E=")</f>
        <v>#REF!</v>
      </c>
      <c r="CU12" t="e">
        <f>AND('Listado General'!#REF!,"AAAAAF1//2I=")</f>
        <v>#REF!</v>
      </c>
      <c r="CV12" t="e">
        <f>IF('Listado General'!#REF!,"AAAAAF1//2M=",0)</f>
        <v>#REF!</v>
      </c>
      <c r="CW12" t="e">
        <f>AND('Listado General'!#REF!,"AAAAAF1//2Q=")</f>
        <v>#REF!</v>
      </c>
      <c r="CX12" t="e">
        <f>AND('Listado General'!#REF!,"AAAAAF1//2U=")</f>
        <v>#REF!</v>
      </c>
      <c r="CY12" t="e">
        <f>AND('Listado General'!#REF!,"AAAAAF1//2Y=")</f>
        <v>#REF!</v>
      </c>
      <c r="CZ12" t="e">
        <f>AND('Listado General'!#REF!,"AAAAAF1//2c=")</f>
        <v>#REF!</v>
      </c>
      <c r="DA12" t="e">
        <f>AND('Listado General'!#REF!,"AAAAAF1//2g=")</f>
        <v>#REF!</v>
      </c>
      <c r="DB12" t="e">
        <f>AND('Listado General'!#REF!,"AAAAAF1//2k=")</f>
        <v>#REF!</v>
      </c>
      <c r="DC12" t="e">
        <f>AND('Listado General'!#REF!,"AAAAAF1//2o=")</f>
        <v>#REF!</v>
      </c>
      <c r="DD12" t="e">
        <f>AND('Listado General'!#REF!,"AAAAAF1//2s=")</f>
        <v>#REF!</v>
      </c>
      <c r="DE12" t="e">
        <f>AND('Listado General'!#REF!,"AAAAAF1//2w=")</f>
        <v>#REF!</v>
      </c>
      <c r="DF12" t="e">
        <f>IF('Listado General'!#REF!,"AAAAAF1//20=",0)</f>
        <v>#REF!</v>
      </c>
      <c r="DG12" t="e">
        <f>AND('Listado General'!#REF!,"AAAAAF1//24=")</f>
        <v>#REF!</v>
      </c>
      <c r="DH12" t="e">
        <f>AND('Listado General'!#REF!,"AAAAAF1//28=")</f>
        <v>#REF!</v>
      </c>
      <c r="DI12" t="e">
        <f>AND('Listado General'!#REF!,"AAAAAF1//3A=")</f>
        <v>#REF!</v>
      </c>
      <c r="DJ12" t="e">
        <f>AND('Listado General'!#REF!,"AAAAAF1//3E=")</f>
        <v>#REF!</v>
      </c>
      <c r="DK12" t="e">
        <f>AND('Listado General'!#REF!,"AAAAAF1//3I=")</f>
        <v>#REF!</v>
      </c>
      <c r="DL12" t="e">
        <f>AND('Listado General'!#REF!,"AAAAAF1//3M=")</f>
        <v>#REF!</v>
      </c>
      <c r="DM12" t="e">
        <f>AND('Listado General'!#REF!,"AAAAAF1//3Q=")</f>
        <v>#REF!</v>
      </c>
      <c r="DN12" t="e">
        <f>AND('Listado General'!#REF!,"AAAAAF1//3U=")</f>
        <v>#REF!</v>
      </c>
      <c r="DO12" t="e">
        <f>AND('Listado General'!#REF!,"AAAAAF1//3Y=")</f>
        <v>#REF!</v>
      </c>
      <c r="DP12" t="e">
        <f>IF('Listado General'!#REF!,"AAAAAF1//3c=",0)</f>
        <v>#REF!</v>
      </c>
      <c r="DQ12" t="e">
        <f>AND('Listado General'!#REF!,"AAAAAF1//3g=")</f>
        <v>#REF!</v>
      </c>
      <c r="DR12" t="e">
        <f>AND('Listado General'!#REF!,"AAAAAF1//3k=")</f>
        <v>#REF!</v>
      </c>
      <c r="DS12" t="e">
        <f>AND('Listado General'!#REF!,"AAAAAF1//3o=")</f>
        <v>#REF!</v>
      </c>
      <c r="DT12" t="e">
        <f>AND('Listado General'!#REF!,"AAAAAF1//3s=")</f>
        <v>#REF!</v>
      </c>
      <c r="DU12" t="e">
        <f>AND('Listado General'!#REF!,"AAAAAF1//3w=")</f>
        <v>#REF!</v>
      </c>
      <c r="DV12" t="e">
        <f>AND('Listado General'!#REF!,"AAAAAF1//30=")</f>
        <v>#REF!</v>
      </c>
      <c r="DW12" t="e">
        <f>AND('Listado General'!#REF!,"AAAAAF1//34=")</f>
        <v>#REF!</v>
      </c>
      <c r="DX12" t="e">
        <f>AND('Listado General'!#REF!,"AAAAAF1//38=")</f>
        <v>#REF!</v>
      </c>
      <c r="DY12" t="e">
        <f>AND('Listado General'!#REF!,"AAAAAF1//4A=")</f>
        <v>#REF!</v>
      </c>
      <c r="DZ12" t="e">
        <f>IF('Listado General'!#REF!,"AAAAAF1//4E=",0)</f>
        <v>#REF!</v>
      </c>
      <c r="EA12" t="e">
        <f>AND('Listado General'!#REF!,"AAAAAF1//4I=")</f>
        <v>#REF!</v>
      </c>
      <c r="EB12" t="e">
        <f>AND('Listado General'!#REF!,"AAAAAF1//4M=")</f>
        <v>#REF!</v>
      </c>
      <c r="EC12" t="e">
        <f>AND('Listado General'!#REF!,"AAAAAF1//4Q=")</f>
        <v>#REF!</v>
      </c>
      <c r="ED12" t="e">
        <f>AND('Listado General'!#REF!,"AAAAAF1//4U=")</f>
        <v>#REF!</v>
      </c>
      <c r="EE12" t="e">
        <f>AND('Listado General'!#REF!,"AAAAAF1//4Y=")</f>
        <v>#REF!</v>
      </c>
      <c r="EF12" t="e">
        <f>AND('Listado General'!#REF!,"AAAAAF1//4c=")</f>
        <v>#REF!</v>
      </c>
      <c r="EG12" t="e">
        <f>AND('Listado General'!#REF!,"AAAAAF1//4g=")</f>
        <v>#REF!</v>
      </c>
      <c r="EH12" t="e">
        <f>AND('Listado General'!#REF!,"AAAAAF1//4k=")</f>
        <v>#REF!</v>
      </c>
      <c r="EI12" t="e">
        <f>AND('Listado General'!#REF!,"AAAAAF1//4o=")</f>
        <v>#REF!</v>
      </c>
      <c r="EJ12" t="e">
        <f>IF('Listado General'!#REF!,"AAAAAF1//4s=",0)</f>
        <v>#REF!</v>
      </c>
      <c r="EK12" t="e">
        <f>AND('Listado General'!#REF!,"AAAAAF1//4w=")</f>
        <v>#REF!</v>
      </c>
      <c r="EL12" t="e">
        <f>AND('Listado General'!#REF!,"AAAAAF1//40=")</f>
        <v>#REF!</v>
      </c>
      <c r="EM12" t="e">
        <f>AND('Listado General'!#REF!,"AAAAAF1//44=")</f>
        <v>#REF!</v>
      </c>
      <c r="EN12" t="e">
        <f>AND('Listado General'!#REF!,"AAAAAF1//48=")</f>
        <v>#REF!</v>
      </c>
      <c r="EO12" t="e">
        <f>AND('Listado General'!#REF!,"AAAAAF1//5A=")</f>
        <v>#REF!</v>
      </c>
      <c r="EP12" t="e">
        <f>AND('Listado General'!#REF!,"AAAAAF1//5E=")</f>
        <v>#REF!</v>
      </c>
      <c r="EQ12" t="e">
        <f>AND('Listado General'!#REF!,"AAAAAF1//5I=")</f>
        <v>#REF!</v>
      </c>
      <c r="ER12" t="e">
        <f>AND('Listado General'!#REF!,"AAAAAF1//5M=")</f>
        <v>#REF!</v>
      </c>
      <c r="ES12" t="e">
        <f>AND('Listado General'!#REF!,"AAAAAF1//5Q=")</f>
        <v>#REF!</v>
      </c>
      <c r="ET12" t="e">
        <f>IF('Listado General'!#REF!,"AAAAAF1//5U=",0)</f>
        <v>#REF!</v>
      </c>
      <c r="EU12" t="e">
        <f>AND('Listado General'!#REF!,"AAAAAF1//5Y=")</f>
        <v>#REF!</v>
      </c>
      <c r="EV12" t="e">
        <f>AND('Listado General'!#REF!,"AAAAAF1//5c=")</f>
        <v>#REF!</v>
      </c>
      <c r="EW12" t="e">
        <f>AND('Listado General'!#REF!,"AAAAAF1//5g=")</f>
        <v>#REF!</v>
      </c>
      <c r="EX12" t="e">
        <f>AND('Listado General'!#REF!,"AAAAAF1//5k=")</f>
        <v>#REF!</v>
      </c>
      <c r="EY12" t="e">
        <f>AND('Listado General'!#REF!,"AAAAAF1//5o=")</f>
        <v>#REF!</v>
      </c>
      <c r="EZ12" t="e">
        <f>AND('Listado General'!#REF!,"AAAAAF1//5s=")</f>
        <v>#REF!</v>
      </c>
      <c r="FA12" t="e">
        <f>AND('Listado General'!#REF!,"AAAAAF1//5w=")</f>
        <v>#REF!</v>
      </c>
      <c r="FB12" t="e">
        <f>AND('Listado General'!#REF!,"AAAAAF1//50=")</f>
        <v>#REF!</v>
      </c>
      <c r="FC12" t="e">
        <f>AND('Listado General'!#REF!,"AAAAAF1//54=")</f>
        <v>#REF!</v>
      </c>
      <c r="FD12" t="e">
        <f>IF('Listado General'!#REF!,"AAAAAF1//58=",0)</f>
        <v>#REF!</v>
      </c>
      <c r="FE12" t="e">
        <f>AND('Listado General'!#REF!,"AAAAAF1//6A=")</f>
        <v>#REF!</v>
      </c>
      <c r="FF12" t="e">
        <f>AND('Listado General'!#REF!,"AAAAAF1//6E=")</f>
        <v>#REF!</v>
      </c>
      <c r="FG12" t="e">
        <f>AND('Listado General'!#REF!,"AAAAAF1//6I=")</f>
        <v>#REF!</v>
      </c>
      <c r="FH12" t="e">
        <f>AND('Listado General'!#REF!,"AAAAAF1//6M=")</f>
        <v>#REF!</v>
      </c>
      <c r="FI12" t="e">
        <f>AND('Listado General'!#REF!,"AAAAAF1//6Q=")</f>
        <v>#REF!</v>
      </c>
      <c r="FJ12" t="e">
        <f>AND('Listado General'!#REF!,"AAAAAF1//6U=")</f>
        <v>#REF!</v>
      </c>
      <c r="FK12" t="e">
        <f>AND('Listado General'!#REF!,"AAAAAF1//6Y=")</f>
        <v>#REF!</v>
      </c>
      <c r="FL12" t="e">
        <f>AND('Listado General'!#REF!,"AAAAAF1//6c=")</f>
        <v>#REF!</v>
      </c>
      <c r="FM12" t="e">
        <f>AND('Listado General'!#REF!,"AAAAAF1//6g=")</f>
        <v>#REF!</v>
      </c>
      <c r="FN12" t="e">
        <f>IF('Listado General'!#REF!,"AAAAAF1//6k=",0)</f>
        <v>#REF!</v>
      </c>
      <c r="FO12" t="e">
        <f>AND('Listado General'!#REF!,"AAAAAF1//6o=")</f>
        <v>#REF!</v>
      </c>
      <c r="FP12" t="e">
        <f>AND('Listado General'!#REF!,"AAAAAF1//6s=")</f>
        <v>#REF!</v>
      </c>
      <c r="FQ12" t="e">
        <f>AND('Listado General'!#REF!,"AAAAAF1//6w=")</f>
        <v>#REF!</v>
      </c>
      <c r="FR12" t="e">
        <f>AND('Listado General'!#REF!,"AAAAAF1//60=")</f>
        <v>#REF!</v>
      </c>
      <c r="FS12" t="e">
        <f>AND('Listado General'!#REF!,"AAAAAF1//64=")</f>
        <v>#REF!</v>
      </c>
      <c r="FT12" t="e">
        <f>AND('Listado General'!#REF!,"AAAAAF1//68=")</f>
        <v>#REF!</v>
      </c>
      <c r="FU12" t="e">
        <f>AND('Listado General'!#REF!,"AAAAAF1//7A=")</f>
        <v>#REF!</v>
      </c>
      <c r="FV12" t="e">
        <f>AND('Listado General'!#REF!,"AAAAAF1//7E=")</f>
        <v>#REF!</v>
      </c>
      <c r="FW12" t="e">
        <f>AND('Listado General'!#REF!,"AAAAAF1//7I=")</f>
        <v>#REF!</v>
      </c>
      <c r="FX12" t="e">
        <f>IF('Listado General'!#REF!,"AAAAAF1//7M=",0)</f>
        <v>#REF!</v>
      </c>
      <c r="FY12" t="e">
        <f>AND('Listado General'!#REF!,"AAAAAF1//7Q=")</f>
        <v>#REF!</v>
      </c>
      <c r="FZ12" t="e">
        <f>AND('Listado General'!#REF!,"AAAAAF1//7U=")</f>
        <v>#REF!</v>
      </c>
      <c r="GA12" t="e">
        <f>AND('Listado General'!#REF!,"AAAAAF1//7Y=")</f>
        <v>#REF!</v>
      </c>
      <c r="GB12" t="e">
        <f>AND('Listado General'!#REF!,"AAAAAF1//7c=")</f>
        <v>#REF!</v>
      </c>
      <c r="GC12" t="e">
        <f>AND('Listado General'!#REF!,"AAAAAF1//7g=")</f>
        <v>#REF!</v>
      </c>
      <c r="GD12" t="e">
        <f>AND('Listado General'!#REF!,"AAAAAF1//7k=")</f>
        <v>#REF!</v>
      </c>
      <c r="GE12" t="e">
        <f>AND('Listado General'!#REF!,"AAAAAF1//7o=")</f>
        <v>#REF!</v>
      </c>
      <c r="GF12" t="e">
        <f>AND('Listado General'!#REF!,"AAAAAF1//7s=")</f>
        <v>#REF!</v>
      </c>
      <c r="GG12" t="e">
        <f>AND('Listado General'!#REF!,"AAAAAF1//7w=")</f>
        <v>#REF!</v>
      </c>
      <c r="GH12" t="e">
        <f>IF('Listado General'!#REF!,"AAAAAF1//70=",0)</f>
        <v>#REF!</v>
      </c>
      <c r="GI12" t="e">
        <f>AND('Listado General'!#REF!,"AAAAAF1//74=")</f>
        <v>#REF!</v>
      </c>
      <c r="GJ12" t="e">
        <f>AND('Listado General'!#REF!,"AAAAAF1//78=")</f>
        <v>#REF!</v>
      </c>
      <c r="GK12" t="e">
        <f>AND('Listado General'!#REF!,"AAAAAF1//8A=")</f>
        <v>#REF!</v>
      </c>
      <c r="GL12" t="e">
        <f>AND('Listado General'!#REF!,"AAAAAF1//8E=")</f>
        <v>#REF!</v>
      </c>
      <c r="GM12" t="e">
        <f>AND('Listado General'!#REF!,"AAAAAF1//8I=")</f>
        <v>#REF!</v>
      </c>
      <c r="GN12" t="e">
        <f>AND('Listado General'!#REF!,"AAAAAF1//8M=")</f>
        <v>#REF!</v>
      </c>
      <c r="GO12" t="e">
        <f>AND('Listado General'!#REF!,"AAAAAF1//8Q=")</f>
        <v>#REF!</v>
      </c>
      <c r="GP12" t="e">
        <f>AND('Listado General'!#REF!,"AAAAAF1//8U=")</f>
        <v>#REF!</v>
      </c>
      <c r="GQ12" t="e">
        <f>AND('Listado General'!#REF!,"AAAAAF1//8Y=")</f>
        <v>#REF!</v>
      </c>
      <c r="GR12" t="e">
        <f>IF('Listado General'!#REF!,"AAAAAF1//8c=",0)</f>
        <v>#REF!</v>
      </c>
      <c r="GS12" t="e">
        <f>AND('Listado General'!#REF!,"AAAAAF1//8g=")</f>
        <v>#REF!</v>
      </c>
      <c r="GT12" t="e">
        <f>AND('Listado General'!#REF!,"AAAAAF1//8k=")</f>
        <v>#REF!</v>
      </c>
      <c r="GU12" t="e">
        <f>AND('Listado General'!#REF!,"AAAAAF1//8o=")</f>
        <v>#REF!</v>
      </c>
      <c r="GV12" t="e">
        <f>AND('Listado General'!#REF!,"AAAAAF1//8s=")</f>
        <v>#REF!</v>
      </c>
      <c r="GW12" t="e">
        <f>AND('Listado General'!#REF!,"AAAAAF1//8w=")</f>
        <v>#REF!</v>
      </c>
      <c r="GX12" t="e">
        <f>AND('Listado General'!#REF!,"AAAAAF1//80=")</f>
        <v>#REF!</v>
      </c>
      <c r="GY12" t="e">
        <f>AND('Listado General'!#REF!,"AAAAAF1//84=")</f>
        <v>#REF!</v>
      </c>
      <c r="GZ12" t="e">
        <f>AND('Listado General'!#REF!,"AAAAAF1//88=")</f>
        <v>#REF!</v>
      </c>
      <c r="HA12" t="e">
        <f>AND('Listado General'!#REF!,"AAAAAF1//9A=")</f>
        <v>#REF!</v>
      </c>
      <c r="HB12" t="e">
        <f>IF('Listado General'!#REF!,"AAAAAF1//9E=",0)</f>
        <v>#REF!</v>
      </c>
      <c r="HC12" t="e">
        <f>AND('Listado General'!#REF!,"AAAAAF1//9I=")</f>
        <v>#REF!</v>
      </c>
      <c r="HD12" t="e">
        <f>AND('Listado General'!#REF!,"AAAAAF1//9M=")</f>
        <v>#REF!</v>
      </c>
      <c r="HE12" t="e">
        <f>AND('Listado General'!#REF!,"AAAAAF1//9Q=")</f>
        <v>#REF!</v>
      </c>
      <c r="HF12" t="e">
        <f>AND('Listado General'!#REF!,"AAAAAF1//9U=")</f>
        <v>#REF!</v>
      </c>
      <c r="HG12" t="e">
        <f>AND('Listado General'!#REF!,"AAAAAF1//9Y=")</f>
        <v>#REF!</v>
      </c>
      <c r="HH12" t="e">
        <f>AND('Listado General'!#REF!,"AAAAAF1//9c=")</f>
        <v>#REF!</v>
      </c>
      <c r="HI12" t="e">
        <f>AND('Listado General'!#REF!,"AAAAAF1//9g=")</f>
        <v>#REF!</v>
      </c>
      <c r="HJ12" t="e">
        <f>AND('Listado General'!#REF!,"AAAAAF1//9k=")</f>
        <v>#REF!</v>
      </c>
      <c r="HK12" t="e">
        <f>AND('Listado General'!#REF!,"AAAAAF1//9o=")</f>
        <v>#REF!</v>
      </c>
      <c r="HL12" t="e">
        <f>IF('Listado General'!#REF!,"AAAAAF1//9s=",0)</f>
        <v>#REF!</v>
      </c>
      <c r="HM12" t="e">
        <f>AND('Listado General'!#REF!,"AAAAAF1//9w=")</f>
        <v>#REF!</v>
      </c>
      <c r="HN12" t="e">
        <f>AND('Listado General'!#REF!,"AAAAAF1//90=")</f>
        <v>#REF!</v>
      </c>
      <c r="HO12" t="e">
        <f>AND('Listado General'!#REF!,"AAAAAF1//94=")</f>
        <v>#REF!</v>
      </c>
      <c r="HP12" t="e">
        <f>AND('Listado General'!#REF!,"AAAAAF1//98=")</f>
        <v>#REF!</v>
      </c>
      <c r="HQ12" t="e">
        <f>AND('Listado General'!#REF!,"AAAAAF1//+A=")</f>
        <v>#REF!</v>
      </c>
      <c r="HR12" t="e">
        <f>AND('Listado General'!#REF!,"AAAAAF1//+E=")</f>
        <v>#REF!</v>
      </c>
      <c r="HS12" t="e">
        <f>AND('Listado General'!#REF!,"AAAAAF1//+I=")</f>
        <v>#REF!</v>
      </c>
      <c r="HT12" t="e">
        <f>AND('Listado General'!#REF!,"AAAAAF1//+M=")</f>
        <v>#REF!</v>
      </c>
      <c r="HU12" t="e">
        <f>AND('Listado General'!#REF!,"AAAAAF1//+Q=")</f>
        <v>#REF!</v>
      </c>
      <c r="HV12" t="e">
        <f>IF('Listado General'!#REF!,"AAAAAF1//+U=",0)</f>
        <v>#REF!</v>
      </c>
      <c r="HW12" t="e">
        <f>AND('Listado General'!#REF!,"AAAAAF1//+Y=")</f>
        <v>#REF!</v>
      </c>
      <c r="HX12" t="e">
        <f>AND('Listado General'!#REF!,"AAAAAF1//+c=")</f>
        <v>#REF!</v>
      </c>
      <c r="HY12" t="e">
        <f>AND('Listado General'!#REF!,"AAAAAF1//+g=")</f>
        <v>#REF!</v>
      </c>
      <c r="HZ12" t="e">
        <f>AND('Listado General'!#REF!,"AAAAAF1//+k=")</f>
        <v>#REF!</v>
      </c>
      <c r="IA12" t="e">
        <f>AND('Listado General'!#REF!,"AAAAAF1//+o=")</f>
        <v>#REF!</v>
      </c>
      <c r="IB12" t="e">
        <f>AND('Listado General'!#REF!,"AAAAAF1//+s=")</f>
        <v>#REF!</v>
      </c>
      <c r="IC12" t="e">
        <f>AND('Listado General'!#REF!,"AAAAAF1//+w=")</f>
        <v>#REF!</v>
      </c>
      <c r="ID12" t="e">
        <f>AND('Listado General'!#REF!,"AAAAAF1//+0=")</f>
        <v>#REF!</v>
      </c>
      <c r="IE12" t="e">
        <f>AND('Listado General'!#REF!,"AAAAAF1//+4=")</f>
        <v>#REF!</v>
      </c>
      <c r="IF12" t="e">
        <f>IF('Listado General'!#REF!,"AAAAAF1//+8=",0)</f>
        <v>#REF!</v>
      </c>
      <c r="IG12" t="e">
        <f>AND('Listado General'!#REF!,"AAAAAF1///A=")</f>
        <v>#REF!</v>
      </c>
      <c r="IH12" t="e">
        <f>AND('Listado General'!#REF!,"AAAAAF1///E=")</f>
        <v>#REF!</v>
      </c>
      <c r="II12" t="e">
        <f>AND('Listado General'!#REF!,"AAAAAF1///I=")</f>
        <v>#REF!</v>
      </c>
      <c r="IJ12" t="e">
        <f>AND('Listado General'!#REF!,"AAAAAF1///M=")</f>
        <v>#REF!</v>
      </c>
      <c r="IK12" t="e">
        <f>AND('Listado General'!#REF!,"AAAAAF1///Q=")</f>
        <v>#REF!</v>
      </c>
      <c r="IL12" t="e">
        <f>AND('Listado General'!#REF!,"AAAAAF1///U=")</f>
        <v>#REF!</v>
      </c>
      <c r="IM12" t="e">
        <f>AND('Listado General'!#REF!,"AAAAAF1///Y=")</f>
        <v>#REF!</v>
      </c>
      <c r="IN12" t="e">
        <f>AND('Listado General'!#REF!,"AAAAAF1///c=")</f>
        <v>#REF!</v>
      </c>
      <c r="IO12" t="e">
        <f>AND('Listado General'!#REF!,"AAAAAF1///g=")</f>
        <v>#REF!</v>
      </c>
      <c r="IP12" t="e">
        <f>IF('Listado General'!#REF!,"AAAAAF1///k=",0)</f>
        <v>#REF!</v>
      </c>
      <c r="IQ12" t="e">
        <f>AND('Listado General'!#REF!,"AAAAAF1///o=")</f>
        <v>#REF!</v>
      </c>
      <c r="IR12" t="e">
        <f>AND('Listado General'!#REF!,"AAAAAF1///s=")</f>
        <v>#REF!</v>
      </c>
      <c r="IS12" t="e">
        <f>AND('Listado General'!#REF!,"AAAAAF1///w=")</f>
        <v>#REF!</v>
      </c>
      <c r="IT12" t="e">
        <f>AND('Listado General'!#REF!,"AAAAAF1///0=")</f>
        <v>#REF!</v>
      </c>
      <c r="IU12" t="e">
        <f>AND('Listado General'!#REF!,"AAAAAF1///4=")</f>
        <v>#REF!</v>
      </c>
      <c r="IV12" t="e">
        <f>AND('Listado General'!#REF!,"AAAAAF1///8=")</f>
        <v>#REF!</v>
      </c>
    </row>
    <row r="13" spans="1:256" ht="12.75">
      <c r="A13" t="e">
        <f>AND('Listado General'!#REF!,"AAAAAHfnWwA=")</f>
        <v>#REF!</v>
      </c>
      <c r="B13" t="e">
        <f>AND('Listado General'!#REF!,"AAAAAHfnWwE=")</f>
        <v>#REF!</v>
      </c>
      <c r="C13" t="e">
        <f>AND('Listado General'!#REF!,"AAAAAHfnWwI=")</f>
        <v>#REF!</v>
      </c>
      <c r="D13" t="e">
        <f>IF('Listado General'!#REF!,"AAAAAHfnWwM=",0)</f>
        <v>#REF!</v>
      </c>
      <c r="E13" t="e">
        <f>AND('Listado General'!#REF!,"AAAAAHfnWwQ=")</f>
        <v>#REF!</v>
      </c>
      <c r="F13" t="e">
        <f>AND('Listado General'!#REF!,"AAAAAHfnWwU=")</f>
        <v>#REF!</v>
      </c>
      <c r="G13" t="e">
        <f>AND('Listado General'!#REF!,"AAAAAHfnWwY=")</f>
        <v>#REF!</v>
      </c>
      <c r="H13" t="e">
        <f>AND('Listado General'!#REF!,"AAAAAHfnWwc=")</f>
        <v>#REF!</v>
      </c>
      <c r="I13" t="e">
        <f>AND('Listado General'!#REF!,"AAAAAHfnWwg=")</f>
        <v>#REF!</v>
      </c>
      <c r="J13" t="e">
        <f>AND('Listado General'!#REF!,"AAAAAHfnWwk=")</f>
        <v>#REF!</v>
      </c>
      <c r="K13" t="e">
        <f>AND('Listado General'!#REF!,"AAAAAHfnWwo=")</f>
        <v>#REF!</v>
      </c>
      <c r="L13" t="e">
        <f>AND('Listado General'!#REF!,"AAAAAHfnWws=")</f>
        <v>#REF!</v>
      </c>
      <c r="M13" t="e">
        <f>AND('Listado General'!#REF!,"AAAAAHfnWww=")</f>
        <v>#REF!</v>
      </c>
      <c r="N13" t="e">
        <f>IF('Listado General'!#REF!,"AAAAAHfnWw0=",0)</f>
        <v>#REF!</v>
      </c>
      <c r="O13" t="e">
        <f>AND('Listado General'!#REF!,"AAAAAHfnWw4=")</f>
        <v>#REF!</v>
      </c>
      <c r="P13" t="e">
        <f>AND('Listado General'!#REF!,"AAAAAHfnWw8=")</f>
        <v>#REF!</v>
      </c>
      <c r="Q13" t="e">
        <f>AND('Listado General'!#REF!,"AAAAAHfnWxA=")</f>
        <v>#REF!</v>
      </c>
      <c r="R13" t="e">
        <f>AND('Listado General'!#REF!,"AAAAAHfnWxE=")</f>
        <v>#REF!</v>
      </c>
      <c r="S13" t="e">
        <f>AND('Listado General'!#REF!,"AAAAAHfnWxI=")</f>
        <v>#REF!</v>
      </c>
      <c r="T13" t="e">
        <f>AND('Listado General'!#REF!,"AAAAAHfnWxM=")</f>
        <v>#REF!</v>
      </c>
      <c r="U13" t="e">
        <f>AND('Listado General'!#REF!,"AAAAAHfnWxQ=")</f>
        <v>#REF!</v>
      </c>
      <c r="V13" t="e">
        <f>AND('Listado General'!#REF!,"AAAAAHfnWxU=")</f>
        <v>#REF!</v>
      </c>
      <c r="W13" t="e">
        <f>AND('Listado General'!#REF!,"AAAAAHfnWxY=")</f>
        <v>#REF!</v>
      </c>
      <c r="X13" t="e">
        <f>IF('Listado General'!#REF!,"AAAAAHfnWxc=",0)</f>
        <v>#REF!</v>
      </c>
      <c r="Y13" t="e">
        <f>AND('Listado General'!#REF!,"AAAAAHfnWxg=")</f>
        <v>#REF!</v>
      </c>
      <c r="Z13" t="e">
        <f>AND('Listado General'!#REF!,"AAAAAHfnWxk=")</f>
        <v>#REF!</v>
      </c>
      <c r="AA13" t="e">
        <f>AND('Listado General'!#REF!,"AAAAAHfnWxo=")</f>
        <v>#REF!</v>
      </c>
      <c r="AB13" t="e">
        <f>AND('Listado General'!#REF!,"AAAAAHfnWxs=")</f>
        <v>#REF!</v>
      </c>
      <c r="AC13" t="e">
        <f>AND('Listado General'!#REF!,"AAAAAHfnWxw=")</f>
        <v>#REF!</v>
      </c>
      <c r="AD13" t="e">
        <f>AND('Listado General'!#REF!,"AAAAAHfnWx0=")</f>
        <v>#REF!</v>
      </c>
      <c r="AE13" t="e">
        <f>AND('Listado General'!#REF!,"AAAAAHfnWx4=")</f>
        <v>#REF!</v>
      </c>
      <c r="AF13" t="e">
        <f>AND('Listado General'!#REF!,"AAAAAHfnWx8=")</f>
        <v>#REF!</v>
      </c>
      <c r="AG13" t="e">
        <f>AND('Listado General'!#REF!,"AAAAAHfnWyA=")</f>
        <v>#REF!</v>
      </c>
      <c r="AH13" t="e">
        <f>IF('Listado General'!#REF!,"AAAAAHfnWyE=",0)</f>
        <v>#REF!</v>
      </c>
      <c r="AI13" t="e">
        <f>AND('Listado General'!#REF!,"AAAAAHfnWyI=")</f>
        <v>#REF!</v>
      </c>
      <c r="AJ13" t="e">
        <f>AND('Listado General'!#REF!,"AAAAAHfnWyM=")</f>
        <v>#REF!</v>
      </c>
      <c r="AK13" t="e">
        <f>AND('Listado General'!#REF!,"AAAAAHfnWyQ=")</f>
        <v>#REF!</v>
      </c>
      <c r="AL13" t="e">
        <f>AND('Listado General'!#REF!,"AAAAAHfnWyU=")</f>
        <v>#REF!</v>
      </c>
      <c r="AM13" t="e">
        <f>AND('Listado General'!#REF!,"AAAAAHfnWyY=")</f>
        <v>#REF!</v>
      </c>
      <c r="AN13" t="e">
        <f>AND('Listado General'!#REF!,"AAAAAHfnWyc=")</f>
        <v>#REF!</v>
      </c>
      <c r="AO13" t="e">
        <f>AND('Listado General'!#REF!,"AAAAAHfnWyg=")</f>
        <v>#REF!</v>
      </c>
      <c r="AP13" t="e">
        <f>AND('Listado General'!#REF!,"AAAAAHfnWyk=")</f>
        <v>#REF!</v>
      </c>
      <c r="AQ13" t="e">
        <f>AND('Listado General'!#REF!,"AAAAAHfnWyo=")</f>
        <v>#REF!</v>
      </c>
      <c r="AR13" t="e">
        <f>IF('Listado General'!#REF!,"AAAAAHfnWys=",0)</f>
        <v>#REF!</v>
      </c>
      <c r="AS13" t="e">
        <f>AND('Listado General'!#REF!,"AAAAAHfnWyw=")</f>
        <v>#REF!</v>
      </c>
      <c r="AT13" t="e">
        <f>AND('Listado General'!#REF!,"AAAAAHfnWy0=")</f>
        <v>#REF!</v>
      </c>
      <c r="AU13" t="e">
        <f>AND('Listado General'!#REF!,"AAAAAHfnWy4=")</f>
        <v>#REF!</v>
      </c>
      <c r="AV13" t="e">
        <f>AND('Listado General'!#REF!,"AAAAAHfnWy8=")</f>
        <v>#REF!</v>
      </c>
      <c r="AW13" t="e">
        <f>AND('Listado General'!#REF!,"AAAAAHfnWzA=")</f>
        <v>#REF!</v>
      </c>
      <c r="AX13" t="e">
        <f>AND('Listado General'!#REF!,"AAAAAHfnWzE=")</f>
        <v>#REF!</v>
      </c>
      <c r="AY13" t="e">
        <f>AND('Listado General'!#REF!,"AAAAAHfnWzI=")</f>
        <v>#REF!</v>
      </c>
      <c r="AZ13" t="e">
        <f>AND('Listado General'!#REF!,"AAAAAHfnWzM=")</f>
        <v>#REF!</v>
      </c>
      <c r="BA13" t="e">
        <f>AND('Listado General'!#REF!,"AAAAAHfnWzQ=")</f>
        <v>#REF!</v>
      </c>
      <c r="BB13" t="e">
        <f>IF('Listado General'!#REF!,"AAAAAHfnWzU=",0)</f>
        <v>#REF!</v>
      </c>
      <c r="BC13" t="e">
        <f>AND('Listado General'!#REF!,"AAAAAHfnWzY=")</f>
        <v>#REF!</v>
      </c>
      <c r="BD13" t="e">
        <f>AND('Listado General'!#REF!,"AAAAAHfnWzc=")</f>
        <v>#REF!</v>
      </c>
      <c r="BE13" t="e">
        <f>AND('Listado General'!#REF!,"AAAAAHfnWzg=")</f>
        <v>#REF!</v>
      </c>
      <c r="BF13" t="e">
        <f>AND('Listado General'!#REF!,"AAAAAHfnWzk=")</f>
        <v>#REF!</v>
      </c>
      <c r="BG13" t="e">
        <f>AND('Listado General'!#REF!,"AAAAAHfnWzo=")</f>
        <v>#REF!</v>
      </c>
      <c r="BH13" t="e">
        <f>AND('Listado General'!#REF!,"AAAAAHfnWzs=")</f>
        <v>#REF!</v>
      </c>
      <c r="BI13" t="e">
        <f>AND('Listado General'!#REF!,"AAAAAHfnWzw=")</f>
        <v>#REF!</v>
      </c>
      <c r="BJ13" t="e">
        <f>AND('Listado General'!#REF!,"AAAAAHfnWz0=")</f>
        <v>#REF!</v>
      </c>
      <c r="BK13" t="e">
        <f>AND('Listado General'!#REF!,"AAAAAHfnWz4=")</f>
        <v>#REF!</v>
      </c>
      <c r="BL13" t="e">
        <f>IF('Listado General'!#REF!,"AAAAAHfnWz8=",0)</f>
        <v>#REF!</v>
      </c>
      <c r="BM13" t="e">
        <f>AND('Listado General'!#REF!,"AAAAAHfnW0A=")</f>
        <v>#REF!</v>
      </c>
      <c r="BN13" t="e">
        <f>AND('Listado General'!#REF!,"AAAAAHfnW0E=")</f>
        <v>#REF!</v>
      </c>
      <c r="BO13" t="e">
        <f>AND('Listado General'!#REF!,"AAAAAHfnW0I=")</f>
        <v>#REF!</v>
      </c>
      <c r="BP13" t="e">
        <f>AND('Listado General'!#REF!,"AAAAAHfnW0M=")</f>
        <v>#REF!</v>
      </c>
      <c r="BQ13" t="e">
        <f>AND('Listado General'!#REF!,"AAAAAHfnW0Q=")</f>
        <v>#REF!</v>
      </c>
      <c r="BR13" t="e">
        <f>AND('Listado General'!#REF!,"AAAAAHfnW0U=")</f>
        <v>#REF!</v>
      </c>
      <c r="BS13" t="e">
        <f>AND('Listado General'!#REF!,"AAAAAHfnW0Y=")</f>
        <v>#REF!</v>
      </c>
      <c r="BT13" t="e">
        <f>AND('Listado General'!#REF!,"AAAAAHfnW0c=")</f>
        <v>#REF!</v>
      </c>
      <c r="BU13" t="e">
        <f>AND('Listado General'!#REF!,"AAAAAHfnW0g=")</f>
        <v>#REF!</v>
      </c>
      <c r="BV13" t="e">
        <f>IF('Listado General'!#REF!,"AAAAAHfnW0k=",0)</f>
        <v>#REF!</v>
      </c>
      <c r="BW13" t="e">
        <f>AND('Listado General'!#REF!,"AAAAAHfnW0o=")</f>
        <v>#REF!</v>
      </c>
      <c r="BX13" t="e">
        <f>AND('Listado General'!#REF!,"AAAAAHfnW0s=")</f>
        <v>#REF!</v>
      </c>
      <c r="BY13" t="e">
        <f>AND('Listado General'!#REF!,"AAAAAHfnW0w=")</f>
        <v>#REF!</v>
      </c>
      <c r="BZ13" t="e">
        <f>AND('Listado General'!#REF!,"AAAAAHfnW00=")</f>
        <v>#REF!</v>
      </c>
      <c r="CA13" t="e">
        <f>AND('Listado General'!#REF!,"AAAAAHfnW04=")</f>
        <v>#REF!</v>
      </c>
      <c r="CB13" t="e">
        <f>AND('Listado General'!#REF!,"AAAAAHfnW08=")</f>
        <v>#REF!</v>
      </c>
      <c r="CC13" t="e">
        <f>AND('Listado General'!#REF!,"AAAAAHfnW1A=")</f>
        <v>#REF!</v>
      </c>
      <c r="CD13" t="e">
        <f>AND('Listado General'!#REF!,"AAAAAHfnW1E=")</f>
        <v>#REF!</v>
      </c>
      <c r="CE13" t="e">
        <f>AND('Listado General'!#REF!,"AAAAAHfnW1I=")</f>
        <v>#REF!</v>
      </c>
      <c r="CF13" t="e">
        <f>IF('Listado General'!#REF!,"AAAAAHfnW1M=",0)</f>
        <v>#REF!</v>
      </c>
      <c r="CG13" t="e">
        <f>AND('Listado General'!#REF!,"AAAAAHfnW1Q=")</f>
        <v>#REF!</v>
      </c>
      <c r="CH13" t="e">
        <f>AND('Listado General'!#REF!,"AAAAAHfnW1U=")</f>
        <v>#REF!</v>
      </c>
      <c r="CI13" t="e">
        <f>AND('Listado General'!#REF!,"AAAAAHfnW1Y=")</f>
        <v>#REF!</v>
      </c>
      <c r="CJ13" t="e">
        <f>AND('Listado General'!#REF!,"AAAAAHfnW1c=")</f>
        <v>#REF!</v>
      </c>
      <c r="CK13" t="e">
        <f>AND('Listado General'!#REF!,"AAAAAHfnW1g=")</f>
        <v>#REF!</v>
      </c>
      <c r="CL13" t="e">
        <f>AND('Listado General'!#REF!,"AAAAAHfnW1k=")</f>
        <v>#REF!</v>
      </c>
      <c r="CM13" t="e">
        <f>AND('Listado General'!#REF!,"AAAAAHfnW1o=")</f>
        <v>#REF!</v>
      </c>
      <c r="CN13" t="e">
        <f>AND('Listado General'!#REF!,"AAAAAHfnW1s=")</f>
        <v>#REF!</v>
      </c>
      <c r="CO13" t="e">
        <f>AND('Listado General'!#REF!,"AAAAAHfnW1w=")</f>
        <v>#REF!</v>
      </c>
      <c r="CP13" t="e">
        <f>IF('Listado General'!#REF!,"AAAAAHfnW10=",0)</f>
        <v>#REF!</v>
      </c>
      <c r="CQ13" t="e">
        <f>AND('Listado General'!#REF!,"AAAAAHfnW14=")</f>
        <v>#REF!</v>
      </c>
      <c r="CR13" t="e">
        <f>AND('Listado General'!#REF!,"AAAAAHfnW18=")</f>
        <v>#REF!</v>
      </c>
      <c r="CS13" t="e">
        <f>AND('Listado General'!#REF!,"AAAAAHfnW2A=")</f>
        <v>#REF!</v>
      </c>
      <c r="CT13" t="e">
        <f>AND('Listado General'!#REF!,"AAAAAHfnW2E=")</f>
        <v>#REF!</v>
      </c>
      <c r="CU13" t="e">
        <f>AND('Listado General'!#REF!,"AAAAAHfnW2I=")</f>
        <v>#REF!</v>
      </c>
      <c r="CV13" t="e">
        <f>AND('Listado General'!#REF!,"AAAAAHfnW2M=")</f>
        <v>#REF!</v>
      </c>
      <c r="CW13" t="e">
        <f>AND('Listado General'!#REF!,"AAAAAHfnW2Q=")</f>
        <v>#REF!</v>
      </c>
      <c r="CX13" t="e">
        <f>AND('Listado General'!#REF!,"AAAAAHfnW2U=")</f>
        <v>#REF!</v>
      </c>
      <c r="CY13" t="e">
        <f>AND('Listado General'!#REF!,"AAAAAHfnW2Y=")</f>
        <v>#REF!</v>
      </c>
      <c r="CZ13" t="e">
        <f>IF('Listado General'!#REF!,"AAAAAHfnW2c=",0)</f>
        <v>#REF!</v>
      </c>
      <c r="DA13" t="e">
        <f>AND('Listado General'!#REF!,"AAAAAHfnW2g=")</f>
        <v>#REF!</v>
      </c>
      <c r="DB13" t="e">
        <f>AND('Listado General'!#REF!,"AAAAAHfnW2k=")</f>
        <v>#REF!</v>
      </c>
      <c r="DC13" t="e">
        <f>AND('Listado General'!#REF!,"AAAAAHfnW2o=")</f>
        <v>#REF!</v>
      </c>
      <c r="DD13" t="e">
        <f>AND('Listado General'!#REF!,"AAAAAHfnW2s=")</f>
        <v>#REF!</v>
      </c>
      <c r="DE13" t="e">
        <f>AND('Listado General'!#REF!,"AAAAAHfnW2w=")</f>
        <v>#REF!</v>
      </c>
      <c r="DF13" t="e">
        <f>AND('Listado General'!#REF!,"AAAAAHfnW20=")</f>
        <v>#REF!</v>
      </c>
      <c r="DG13" t="e">
        <f>AND('Listado General'!#REF!,"AAAAAHfnW24=")</f>
        <v>#REF!</v>
      </c>
      <c r="DH13" t="e">
        <f>AND('Listado General'!#REF!,"AAAAAHfnW28=")</f>
        <v>#REF!</v>
      </c>
      <c r="DI13" t="e">
        <f>AND('Listado General'!#REF!,"AAAAAHfnW3A=")</f>
        <v>#REF!</v>
      </c>
      <c r="DJ13" t="e">
        <f>IF('Listado General'!#REF!,"AAAAAHfnW3E=",0)</f>
        <v>#REF!</v>
      </c>
      <c r="DK13" t="e">
        <f>AND('Listado General'!#REF!,"AAAAAHfnW3I=")</f>
        <v>#REF!</v>
      </c>
      <c r="DL13" t="e">
        <f>AND('Listado General'!#REF!,"AAAAAHfnW3M=")</f>
        <v>#REF!</v>
      </c>
      <c r="DM13" t="e">
        <f>AND('Listado General'!#REF!,"AAAAAHfnW3Q=")</f>
        <v>#REF!</v>
      </c>
      <c r="DN13" t="e">
        <f>AND('Listado General'!#REF!,"AAAAAHfnW3U=")</f>
        <v>#REF!</v>
      </c>
      <c r="DO13" t="e">
        <f>AND('Listado General'!#REF!,"AAAAAHfnW3Y=")</f>
        <v>#REF!</v>
      </c>
      <c r="DP13" t="e">
        <f>AND('Listado General'!#REF!,"AAAAAHfnW3c=")</f>
        <v>#REF!</v>
      </c>
      <c r="DQ13" t="e">
        <f>AND('Listado General'!#REF!,"AAAAAHfnW3g=")</f>
        <v>#REF!</v>
      </c>
      <c r="DR13" t="e">
        <f>AND('Listado General'!#REF!,"AAAAAHfnW3k=")</f>
        <v>#REF!</v>
      </c>
      <c r="DS13" t="e">
        <f>AND('Listado General'!#REF!,"AAAAAHfnW3o=")</f>
        <v>#REF!</v>
      </c>
      <c r="DT13" t="e">
        <f>IF('Listado General'!#REF!,"AAAAAHfnW3s=",0)</f>
        <v>#REF!</v>
      </c>
      <c r="DU13" t="e">
        <f>AND('Listado General'!#REF!,"AAAAAHfnW3w=")</f>
        <v>#REF!</v>
      </c>
      <c r="DV13" t="e">
        <f>AND('Listado General'!#REF!,"AAAAAHfnW30=")</f>
        <v>#REF!</v>
      </c>
      <c r="DW13" t="e">
        <f>AND('Listado General'!#REF!,"AAAAAHfnW34=")</f>
        <v>#REF!</v>
      </c>
      <c r="DX13" t="e">
        <f>AND('Listado General'!#REF!,"AAAAAHfnW38=")</f>
        <v>#REF!</v>
      </c>
      <c r="DY13" t="e">
        <f>AND('Listado General'!#REF!,"AAAAAHfnW4A=")</f>
        <v>#REF!</v>
      </c>
      <c r="DZ13" t="e">
        <f>AND('Listado General'!#REF!,"AAAAAHfnW4E=")</f>
        <v>#REF!</v>
      </c>
      <c r="EA13" t="e">
        <f>AND('Listado General'!#REF!,"AAAAAHfnW4I=")</f>
        <v>#REF!</v>
      </c>
      <c r="EB13" t="e">
        <f>AND('Listado General'!#REF!,"AAAAAHfnW4M=")</f>
        <v>#REF!</v>
      </c>
      <c r="EC13" t="e">
        <f>AND('Listado General'!#REF!,"AAAAAHfnW4Q=")</f>
        <v>#REF!</v>
      </c>
      <c r="ED13" t="e">
        <f>IF('Listado General'!#REF!,"AAAAAHfnW4U=",0)</f>
        <v>#REF!</v>
      </c>
      <c r="EE13" t="e">
        <f>AND('Listado General'!#REF!,"AAAAAHfnW4Y=")</f>
        <v>#REF!</v>
      </c>
      <c r="EF13" t="e">
        <f>AND('Listado General'!#REF!,"AAAAAHfnW4c=")</f>
        <v>#REF!</v>
      </c>
      <c r="EG13" t="e">
        <f>AND('Listado General'!#REF!,"AAAAAHfnW4g=")</f>
        <v>#REF!</v>
      </c>
      <c r="EH13" t="e">
        <f>AND('Listado General'!#REF!,"AAAAAHfnW4k=")</f>
        <v>#REF!</v>
      </c>
      <c r="EI13" t="e">
        <f>AND('Listado General'!#REF!,"AAAAAHfnW4o=")</f>
        <v>#REF!</v>
      </c>
      <c r="EJ13" t="e">
        <f>AND('Listado General'!#REF!,"AAAAAHfnW4s=")</f>
        <v>#REF!</v>
      </c>
      <c r="EK13" t="e">
        <f>AND('Listado General'!#REF!,"AAAAAHfnW4w=")</f>
        <v>#REF!</v>
      </c>
      <c r="EL13" t="e">
        <f>AND('Listado General'!#REF!,"AAAAAHfnW40=")</f>
        <v>#REF!</v>
      </c>
      <c r="EM13" t="e">
        <f>AND('Listado General'!#REF!,"AAAAAHfnW44=")</f>
        <v>#REF!</v>
      </c>
      <c r="EN13" t="e">
        <f>IF('Listado General'!#REF!,"AAAAAHfnW48=",0)</f>
        <v>#REF!</v>
      </c>
      <c r="EO13" t="e">
        <f>AND('Listado General'!#REF!,"AAAAAHfnW5A=")</f>
        <v>#REF!</v>
      </c>
      <c r="EP13" t="e">
        <f>AND('Listado General'!#REF!,"AAAAAHfnW5E=")</f>
        <v>#REF!</v>
      </c>
      <c r="EQ13" t="e">
        <f>AND('Listado General'!#REF!,"AAAAAHfnW5I=")</f>
        <v>#REF!</v>
      </c>
      <c r="ER13" t="e">
        <f>AND('Listado General'!#REF!,"AAAAAHfnW5M=")</f>
        <v>#REF!</v>
      </c>
      <c r="ES13" t="e">
        <f>AND('Listado General'!#REF!,"AAAAAHfnW5Q=")</f>
        <v>#REF!</v>
      </c>
      <c r="ET13" t="e">
        <f>AND('Listado General'!#REF!,"AAAAAHfnW5U=")</f>
        <v>#REF!</v>
      </c>
      <c r="EU13" t="e">
        <f>AND('Listado General'!#REF!,"AAAAAHfnW5Y=")</f>
        <v>#REF!</v>
      </c>
      <c r="EV13" t="e">
        <f>AND('Listado General'!#REF!,"AAAAAHfnW5c=")</f>
        <v>#REF!</v>
      </c>
      <c r="EW13" t="e">
        <f>AND('Listado General'!#REF!,"AAAAAHfnW5g=")</f>
        <v>#REF!</v>
      </c>
      <c r="EX13" t="e">
        <f>IF('Listado General'!#REF!,"AAAAAHfnW5k=",0)</f>
        <v>#REF!</v>
      </c>
      <c r="EY13" t="e">
        <f>AND('Listado General'!#REF!,"AAAAAHfnW5o=")</f>
        <v>#REF!</v>
      </c>
      <c r="EZ13" t="e">
        <f>AND('Listado General'!#REF!,"AAAAAHfnW5s=")</f>
        <v>#REF!</v>
      </c>
      <c r="FA13" t="e">
        <f>AND('Listado General'!#REF!,"AAAAAHfnW5w=")</f>
        <v>#REF!</v>
      </c>
      <c r="FB13" t="e">
        <f>AND('Listado General'!#REF!,"AAAAAHfnW50=")</f>
        <v>#REF!</v>
      </c>
      <c r="FC13" t="e">
        <f>AND('Listado General'!#REF!,"AAAAAHfnW54=")</f>
        <v>#REF!</v>
      </c>
      <c r="FD13" t="e">
        <f>AND('Listado General'!#REF!,"AAAAAHfnW58=")</f>
        <v>#REF!</v>
      </c>
      <c r="FE13" t="e">
        <f>AND('Listado General'!#REF!,"AAAAAHfnW6A=")</f>
        <v>#REF!</v>
      </c>
      <c r="FF13" t="e">
        <f>AND('Listado General'!#REF!,"AAAAAHfnW6E=")</f>
        <v>#REF!</v>
      </c>
      <c r="FG13" t="e">
        <f>AND('Listado General'!#REF!,"AAAAAHfnW6I=")</f>
        <v>#REF!</v>
      </c>
      <c r="FH13" t="e">
        <f>IF('Listado General'!#REF!,"AAAAAHfnW6M=",0)</f>
        <v>#REF!</v>
      </c>
      <c r="FI13" t="e">
        <f>AND('Listado General'!#REF!,"AAAAAHfnW6Q=")</f>
        <v>#REF!</v>
      </c>
      <c r="FJ13" t="e">
        <f>AND('Listado General'!#REF!,"AAAAAHfnW6U=")</f>
        <v>#REF!</v>
      </c>
      <c r="FK13" t="e">
        <f>AND('Listado General'!#REF!,"AAAAAHfnW6Y=")</f>
        <v>#REF!</v>
      </c>
      <c r="FL13" t="e">
        <f>AND('Listado General'!#REF!,"AAAAAHfnW6c=")</f>
        <v>#REF!</v>
      </c>
      <c r="FM13" t="e">
        <f>AND('Listado General'!#REF!,"AAAAAHfnW6g=")</f>
        <v>#REF!</v>
      </c>
      <c r="FN13" t="e">
        <f>AND('Listado General'!#REF!,"AAAAAHfnW6k=")</f>
        <v>#REF!</v>
      </c>
      <c r="FO13" t="e">
        <f>AND('Listado General'!#REF!,"AAAAAHfnW6o=")</f>
        <v>#REF!</v>
      </c>
      <c r="FP13" t="e">
        <f>AND('Listado General'!#REF!,"AAAAAHfnW6s=")</f>
        <v>#REF!</v>
      </c>
      <c r="FQ13" t="e">
        <f>AND('Listado General'!#REF!,"AAAAAHfnW6w=")</f>
        <v>#REF!</v>
      </c>
      <c r="FR13" t="e">
        <f>IF('Listado General'!#REF!,"AAAAAHfnW60=",0)</f>
        <v>#REF!</v>
      </c>
      <c r="FS13" t="e">
        <f>AND('Listado General'!#REF!,"AAAAAHfnW64=")</f>
        <v>#REF!</v>
      </c>
      <c r="FT13" t="e">
        <f>AND('Listado General'!#REF!,"AAAAAHfnW68=")</f>
        <v>#REF!</v>
      </c>
      <c r="FU13" t="e">
        <f>AND('Listado General'!#REF!,"AAAAAHfnW7A=")</f>
        <v>#REF!</v>
      </c>
      <c r="FV13" t="e">
        <f>AND('Listado General'!#REF!,"AAAAAHfnW7E=")</f>
        <v>#REF!</v>
      </c>
      <c r="FW13" t="e">
        <f>AND('Listado General'!#REF!,"AAAAAHfnW7I=")</f>
        <v>#REF!</v>
      </c>
      <c r="FX13" t="e">
        <f>AND('Listado General'!#REF!,"AAAAAHfnW7M=")</f>
        <v>#REF!</v>
      </c>
      <c r="FY13" t="e">
        <f>AND('Listado General'!#REF!,"AAAAAHfnW7Q=")</f>
        <v>#REF!</v>
      </c>
      <c r="FZ13" t="e">
        <f>AND('Listado General'!#REF!,"AAAAAHfnW7U=")</f>
        <v>#REF!</v>
      </c>
      <c r="GA13" t="e">
        <f>AND('Listado General'!#REF!,"AAAAAHfnW7Y=")</f>
        <v>#REF!</v>
      </c>
      <c r="GB13" t="e">
        <f>IF('Listado General'!#REF!,"AAAAAHfnW7c=",0)</f>
        <v>#REF!</v>
      </c>
      <c r="GC13" t="e">
        <f>AND('Listado General'!#REF!,"AAAAAHfnW7g=")</f>
        <v>#REF!</v>
      </c>
      <c r="GD13" t="e">
        <f>AND('Listado General'!#REF!,"AAAAAHfnW7k=")</f>
        <v>#REF!</v>
      </c>
      <c r="GE13" t="e">
        <f>AND('Listado General'!#REF!,"AAAAAHfnW7o=")</f>
        <v>#REF!</v>
      </c>
      <c r="GF13" t="e">
        <f>AND('Listado General'!#REF!,"AAAAAHfnW7s=")</f>
        <v>#REF!</v>
      </c>
      <c r="GG13" t="e">
        <f>AND('Listado General'!#REF!,"AAAAAHfnW7w=")</f>
        <v>#REF!</v>
      </c>
      <c r="GH13" t="e">
        <f>AND('Listado General'!#REF!,"AAAAAHfnW70=")</f>
        <v>#REF!</v>
      </c>
      <c r="GI13" t="e">
        <f>AND('Listado General'!#REF!,"AAAAAHfnW74=")</f>
        <v>#REF!</v>
      </c>
      <c r="GJ13" t="e">
        <f>AND('Listado General'!#REF!,"AAAAAHfnW78=")</f>
        <v>#REF!</v>
      </c>
      <c r="GK13" t="e">
        <f>AND('Listado General'!#REF!,"AAAAAHfnW8A=")</f>
        <v>#REF!</v>
      </c>
      <c r="GL13" t="e">
        <f>IF('Listado General'!#REF!,"AAAAAHfnW8E=",0)</f>
        <v>#REF!</v>
      </c>
      <c r="GM13" t="e">
        <f>AND('Listado General'!#REF!,"AAAAAHfnW8I=")</f>
        <v>#REF!</v>
      </c>
      <c r="GN13" t="e">
        <f>AND('Listado General'!#REF!,"AAAAAHfnW8M=")</f>
        <v>#REF!</v>
      </c>
      <c r="GO13" t="e">
        <f>AND('Listado General'!#REF!,"AAAAAHfnW8Q=")</f>
        <v>#REF!</v>
      </c>
      <c r="GP13" t="e">
        <f>AND('Listado General'!#REF!,"AAAAAHfnW8U=")</f>
        <v>#REF!</v>
      </c>
      <c r="GQ13" t="e">
        <f>AND('Listado General'!#REF!,"AAAAAHfnW8Y=")</f>
        <v>#REF!</v>
      </c>
      <c r="GR13" t="e">
        <f>AND('Listado General'!#REF!,"AAAAAHfnW8c=")</f>
        <v>#REF!</v>
      </c>
      <c r="GS13" t="e">
        <f>AND('Listado General'!#REF!,"AAAAAHfnW8g=")</f>
        <v>#REF!</v>
      </c>
      <c r="GT13" t="e">
        <f>AND('Listado General'!#REF!,"AAAAAHfnW8k=")</f>
        <v>#REF!</v>
      </c>
      <c r="GU13" t="e">
        <f>AND('Listado General'!#REF!,"AAAAAHfnW8o=")</f>
        <v>#REF!</v>
      </c>
      <c r="GV13" t="e">
        <f>IF('Listado General'!#REF!,"AAAAAHfnW8s=",0)</f>
        <v>#REF!</v>
      </c>
      <c r="GW13" t="e">
        <f>AND('Listado General'!#REF!,"AAAAAHfnW8w=")</f>
        <v>#REF!</v>
      </c>
      <c r="GX13" t="e">
        <f>AND('Listado General'!#REF!,"AAAAAHfnW80=")</f>
        <v>#REF!</v>
      </c>
      <c r="GY13" t="e">
        <f>AND('Listado General'!#REF!,"AAAAAHfnW84=")</f>
        <v>#REF!</v>
      </c>
      <c r="GZ13" t="e">
        <f>AND('Listado General'!#REF!,"AAAAAHfnW88=")</f>
        <v>#REF!</v>
      </c>
      <c r="HA13" t="e">
        <f>AND('Listado General'!#REF!,"AAAAAHfnW9A=")</f>
        <v>#REF!</v>
      </c>
      <c r="HB13" t="e">
        <f>AND('Listado General'!#REF!,"AAAAAHfnW9E=")</f>
        <v>#REF!</v>
      </c>
      <c r="HC13" t="e">
        <f>AND('Listado General'!#REF!,"AAAAAHfnW9I=")</f>
        <v>#REF!</v>
      </c>
      <c r="HD13" t="e">
        <f>AND('Listado General'!#REF!,"AAAAAHfnW9M=")</f>
        <v>#REF!</v>
      </c>
      <c r="HE13" t="e">
        <f>AND('Listado General'!#REF!,"AAAAAHfnW9Q=")</f>
        <v>#REF!</v>
      </c>
      <c r="HF13" t="e">
        <f>IF('Listado General'!#REF!,"AAAAAHfnW9U=",0)</f>
        <v>#REF!</v>
      </c>
      <c r="HG13" t="e">
        <f>AND('Listado General'!#REF!,"AAAAAHfnW9Y=")</f>
        <v>#REF!</v>
      </c>
      <c r="HH13" t="e">
        <f>AND('Listado General'!#REF!,"AAAAAHfnW9c=")</f>
        <v>#REF!</v>
      </c>
      <c r="HI13" t="e">
        <f>AND('Listado General'!#REF!,"AAAAAHfnW9g=")</f>
        <v>#REF!</v>
      </c>
      <c r="HJ13" t="e">
        <f>AND('Listado General'!#REF!,"AAAAAHfnW9k=")</f>
        <v>#REF!</v>
      </c>
      <c r="HK13" t="e">
        <f>AND('Listado General'!#REF!,"AAAAAHfnW9o=")</f>
        <v>#REF!</v>
      </c>
      <c r="HL13" t="e">
        <f>AND('Listado General'!#REF!,"AAAAAHfnW9s=")</f>
        <v>#REF!</v>
      </c>
      <c r="HM13" t="e">
        <f>AND('Listado General'!#REF!,"AAAAAHfnW9w=")</f>
        <v>#REF!</v>
      </c>
      <c r="HN13" t="e">
        <f>AND('Listado General'!#REF!,"AAAAAHfnW90=")</f>
        <v>#REF!</v>
      </c>
      <c r="HO13" t="e">
        <f>AND('Listado General'!#REF!,"AAAAAHfnW94=")</f>
        <v>#REF!</v>
      </c>
      <c r="HP13" t="e">
        <f>IF('Listado General'!#REF!,"AAAAAHfnW98=",0)</f>
        <v>#REF!</v>
      </c>
      <c r="HQ13" t="e">
        <f>AND('Listado General'!#REF!,"AAAAAHfnW+A=")</f>
        <v>#REF!</v>
      </c>
      <c r="HR13" t="e">
        <f>AND('Listado General'!#REF!,"AAAAAHfnW+E=")</f>
        <v>#REF!</v>
      </c>
      <c r="HS13" t="e">
        <f>AND('Listado General'!#REF!,"AAAAAHfnW+I=")</f>
        <v>#REF!</v>
      </c>
      <c r="HT13" t="e">
        <f>AND('Listado General'!#REF!,"AAAAAHfnW+M=")</f>
        <v>#REF!</v>
      </c>
      <c r="HU13" t="e">
        <f>AND('Listado General'!#REF!,"AAAAAHfnW+Q=")</f>
        <v>#REF!</v>
      </c>
      <c r="HV13" t="e">
        <f>AND('Listado General'!#REF!,"AAAAAHfnW+U=")</f>
        <v>#REF!</v>
      </c>
      <c r="HW13" t="e">
        <f>AND('Listado General'!#REF!,"AAAAAHfnW+Y=")</f>
        <v>#REF!</v>
      </c>
      <c r="HX13" t="e">
        <f>AND('Listado General'!#REF!,"AAAAAHfnW+c=")</f>
        <v>#REF!</v>
      </c>
      <c r="HY13" t="e">
        <f>AND('Listado General'!#REF!,"AAAAAHfnW+g=")</f>
        <v>#REF!</v>
      </c>
      <c r="HZ13" t="e">
        <f>IF('Listado General'!#REF!,"AAAAAHfnW+k=",0)</f>
        <v>#REF!</v>
      </c>
      <c r="IA13" t="e">
        <f>AND('Listado General'!#REF!,"AAAAAHfnW+o=")</f>
        <v>#REF!</v>
      </c>
      <c r="IB13" t="e">
        <f>AND('Listado General'!#REF!,"AAAAAHfnW+s=")</f>
        <v>#REF!</v>
      </c>
      <c r="IC13" t="e">
        <f>AND('Listado General'!#REF!,"AAAAAHfnW+w=")</f>
        <v>#REF!</v>
      </c>
      <c r="ID13" t="e">
        <f>AND('Listado General'!#REF!,"AAAAAHfnW+0=")</f>
        <v>#REF!</v>
      </c>
      <c r="IE13" t="e">
        <f>AND('Listado General'!#REF!,"AAAAAHfnW+4=")</f>
        <v>#REF!</v>
      </c>
      <c r="IF13" t="e">
        <f>AND('Listado General'!#REF!,"AAAAAHfnW+8=")</f>
        <v>#REF!</v>
      </c>
      <c r="IG13" t="e">
        <f>AND('Listado General'!#REF!,"AAAAAHfnW/A=")</f>
        <v>#REF!</v>
      </c>
      <c r="IH13" t="e">
        <f>AND('Listado General'!#REF!,"AAAAAHfnW/E=")</f>
        <v>#REF!</v>
      </c>
      <c r="II13" t="e">
        <f>AND('Listado General'!#REF!,"AAAAAHfnW/I=")</f>
        <v>#REF!</v>
      </c>
      <c r="IJ13" t="e">
        <f>IF('Listado General'!#REF!,"AAAAAHfnW/M=",0)</f>
        <v>#REF!</v>
      </c>
      <c r="IK13" t="e">
        <f>AND('Listado General'!#REF!,"AAAAAHfnW/Q=")</f>
        <v>#REF!</v>
      </c>
      <c r="IL13" t="e">
        <f>AND('Listado General'!#REF!,"AAAAAHfnW/U=")</f>
        <v>#REF!</v>
      </c>
      <c r="IM13" t="e">
        <f>AND('Listado General'!#REF!,"AAAAAHfnW/Y=")</f>
        <v>#REF!</v>
      </c>
      <c r="IN13" t="e">
        <f>AND('Listado General'!#REF!,"AAAAAHfnW/c=")</f>
        <v>#REF!</v>
      </c>
      <c r="IO13" t="e">
        <f>AND('Listado General'!#REF!,"AAAAAHfnW/g=")</f>
        <v>#REF!</v>
      </c>
      <c r="IP13" t="e">
        <f>AND('Listado General'!#REF!,"AAAAAHfnW/k=")</f>
        <v>#REF!</v>
      </c>
      <c r="IQ13" t="e">
        <f>AND('Listado General'!#REF!,"AAAAAHfnW/o=")</f>
        <v>#REF!</v>
      </c>
      <c r="IR13" t="e">
        <f>AND('Listado General'!#REF!,"AAAAAHfnW/s=")</f>
        <v>#REF!</v>
      </c>
      <c r="IS13" t="e">
        <f>AND('Listado General'!#REF!,"AAAAAHfnW/w=")</f>
        <v>#REF!</v>
      </c>
      <c r="IT13" t="e">
        <f>IF('Listado General'!#REF!,"AAAAAHfnW/0=",0)</f>
        <v>#REF!</v>
      </c>
      <c r="IU13" t="e">
        <f>AND('Listado General'!#REF!,"AAAAAHfnW/4=")</f>
        <v>#REF!</v>
      </c>
      <c r="IV13" t="e">
        <f>AND('Listado General'!#REF!,"AAAAAHfnW/8=")</f>
        <v>#REF!</v>
      </c>
    </row>
    <row r="14" spans="1:256" ht="12.75">
      <c r="A14" t="e">
        <f>AND('Listado General'!#REF!,"AAAAAH+l+wA=")</f>
        <v>#REF!</v>
      </c>
      <c r="B14" t="e">
        <f>AND('Listado General'!#REF!,"AAAAAH+l+wE=")</f>
        <v>#REF!</v>
      </c>
      <c r="C14" t="e">
        <f>AND('Listado General'!#REF!,"AAAAAH+l+wI=")</f>
        <v>#REF!</v>
      </c>
      <c r="D14" t="e">
        <f>AND('Listado General'!#REF!,"AAAAAH+l+wM=")</f>
        <v>#REF!</v>
      </c>
      <c r="E14" t="e">
        <f>AND('Listado General'!#REF!,"AAAAAH+l+wQ=")</f>
        <v>#REF!</v>
      </c>
      <c r="F14" t="e">
        <f>AND('Listado General'!#REF!,"AAAAAH+l+wU=")</f>
        <v>#REF!</v>
      </c>
      <c r="G14" t="e">
        <f>AND('Listado General'!#REF!,"AAAAAH+l+wY=")</f>
        <v>#REF!</v>
      </c>
      <c r="H14" t="e">
        <f>IF('Listado General'!#REF!,"AAAAAH+l+wc=",0)</f>
        <v>#REF!</v>
      </c>
      <c r="I14" t="e">
        <f>AND('Listado General'!#REF!,"AAAAAH+l+wg=")</f>
        <v>#REF!</v>
      </c>
      <c r="J14" t="e">
        <f>AND('Listado General'!#REF!,"AAAAAH+l+wk=")</f>
        <v>#REF!</v>
      </c>
      <c r="K14" t="e">
        <f>AND('Listado General'!#REF!,"AAAAAH+l+wo=")</f>
        <v>#REF!</v>
      </c>
      <c r="L14" t="e">
        <f>AND('Listado General'!#REF!,"AAAAAH+l+ws=")</f>
        <v>#REF!</v>
      </c>
      <c r="M14" t="e">
        <f>AND('Listado General'!#REF!,"AAAAAH+l+ww=")</f>
        <v>#REF!</v>
      </c>
      <c r="N14" t="e">
        <f>AND('Listado General'!#REF!,"AAAAAH+l+w0=")</f>
        <v>#REF!</v>
      </c>
      <c r="O14" t="e">
        <f>AND('Listado General'!#REF!,"AAAAAH+l+w4=")</f>
        <v>#REF!</v>
      </c>
      <c r="P14" t="e">
        <f>AND('Listado General'!#REF!,"AAAAAH+l+w8=")</f>
        <v>#REF!</v>
      </c>
      <c r="Q14" t="e">
        <f>AND('Listado General'!#REF!,"AAAAAH+l+xA=")</f>
        <v>#REF!</v>
      </c>
      <c r="R14" t="e">
        <f>IF('Listado General'!#REF!,"AAAAAH+l+xE=",0)</f>
        <v>#REF!</v>
      </c>
      <c r="S14" t="e">
        <f>AND('Listado General'!#REF!,"AAAAAH+l+xI=")</f>
        <v>#REF!</v>
      </c>
      <c r="T14" t="e">
        <f>AND('Listado General'!#REF!,"AAAAAH+l+xM=")</f>
        <v>#REF!</v>
      </c>
      <c r="U14" t="e">
        <f>AND('Listado General'!#REF!,"AAAAAH+l+xQ=")</f>
        <v>#REF!</v>
      </c>
      <c r="V14" t="e">
        <f>AND('Listado General'!#REF!,"AAAAAH+l+xU=")</f>
        <v>#REF!</v>
      </c>
      <c r="W14" t="e">
        <f>AND('Listado General'!#REF!,"AAAAAH+l+xY=")</f>
        <v>#REF!</v>
      </c>
      <c r="X14" t="e">
        <f>AND('Listado General'!#REF!,"AAAAAH+l+xc=")</f>
        <v>#REF!</v>
      </c>
      <c r="Y14" t="e">
        <f>AND('Listado General'!#REF!,"AAAAAH+l+xg=")</f>
        <v>#REF!</v>
      </c>
      <c r="Z14" t="e">
        <f>AND('Listado General'!#REF!,"AAAAAH+l+xk=")</f>
        <v>#REF!</v>
      </c>
      <c r="AA14" t="e">
        <f>AND('Listado General'!#REF!,"AAAAAH+l+xo=")</f>
        <v>#REF!</v>
      </c>
      <c r="AB14" t="e">
        <f>IF('Listado General'!#REF!,"AAAAAH+l+xs=",0)</f>
        <v>#REF!</v>
      </c>
      <c r="AC14" t="e">
        <f>AND('Listado General'!#REF!,"AAAAAH+l+xw=")</f>
        <v>#REF!</v>
      </c>
      <c r="AD14" t="e">
        <f>AND('Listado General'!#REF!,"AAAAAH+l+x0=")</f>
        <v>#REF!</v>
      </c>
      <c r="AE14" t="e">
        <f>AND('Listado General'!#REF!,"AAAAAH+l+x4=")</f>
        <v>#REF!</v>
      </c>
      <c r="AF14" t="e">
        <f>AND('Listado General'!#REF!,"AAAAAH+l+x8=")</f>
        <v>#REF!</v>
      </c>
      <c r="AG14" t="e">
        <f>AND('Listado General'!#REF!,"AAAAAH+l+yA=")</f>
        <v>#REF!</v>
      </c>
      <c r="AH14" t="e">
        <f>AND('Listado General'!#REF!,"AAAAAH+l+yE=")</f>
        <v>#REF!</v>
      </c>
      <c r="AI14" t="e">
        <f>AND('Listado General'!#REF!,"AAAAAH+l+yI=")</f>
        <v>#REF!</v>
      </c>
      <c r="AJ14" t="e">
        <f>AND('Listado General'!#REF!,"AAAAAH+l+yM=")</f>
        <v>#REF!</v>
      </c>
      <c r="AK14" t="e">
        <f>AND('Listado General'!#REF!,"AAAAAH+l+yQ=")</f>
        <v>#REF!</v>
      </c>
      <c r="AL14" t="e">
        <f>IF('Listado General'!#REF!,"AAAAAH+l+yU=",0)</f>
        <v>#REF!</v>
      </c>
      <c r="AM14" t="e">
        <f>AND('Listado General'!#REF!,"AAAAAH+l+yY=")</f>
        <v>#REF!</v>
      </c>
      <c r="AN14" t="e">
        <f>AND('Listado General'!#REF!,"AAAAAH+l+yc=")</f>
        <v>#REF!</v>
      </c>
      <c r="AO14" t="e">
        <f>AND('Listado General'!#REF!,"AAAAAH+l+yg=")</f>
        <v>#REF!</v>
      </c>
      <c r="AP14" t="e">
        <f>AND('Listado General'!#REF!,"AAAAAH+l+yk=")</f>
        <v>#REF!</v>
      </c>
      <c r="AQ14" t="e">
        <f>AND('Listado General'!#REF!,"AAAAAH+l+yo=")</f>
        <v>#REF!</v>
      </c>
      <c r="AR14" t="e">
        <f>AND('Listado General'!#REF!,"AAAAAH+l+ys=")</f>
        <v>#REF!</v>
      </c>
      <c r="AS14" t="e">
        <f>AND('Listado General'!#REF!,"AAAAAH+l+yw=")</f>
        <v>#REF!</v>
      </c>
      <c r="AT14" t="e">
        <f>AND('Listado General'!#REF!,"AAAAAH+l+y0=")</f>
        <v>#REF!</v>
      </c>
      <c r="AU14" t="e">
        <f>AND('Listado General'!#REF!,"AAAAAH+l+y4=")</f>
        <v>#REF!</v>
      </c>
      <c r="AV14" t="e">
        <f>IF('Listado General'!#REF!,"AAAAAH+l+y8=",0)</f>
        <v>#REF!</v>
      </c>
      <c r="AW14" t="e">
        <f>AND('Listado General'!#REF!,"AAAAAH+l+zA=")</f>
        <v>#REF!</v>
      </c>
      <c r="AX14" t="e">
        <f>AND('Listado General'!#REF!,"AAAAAH+l+zE=")</f>
        <v>#REF!</v>
      </c>
      <c r="AY14" t="e">
        <f>AND('Listado General'!#REF!,"AAAAAH+l+zI=")</f>
        <v>#REF!</v>
      </c>
      <c r="AZ14" t="e">
        <f>AND('Listado General'!#REF!,"AAAAAH+l+zM=")</f>
        <v>#REF!</v>
      </c>
      <c r="BA14" t="e">
        <f>AND('Listado General'!#REF!,"AAAAAH+l+zQ=")</f>
        <v>#REF!</v>
      </c>
      <c r="BB14" t="e">
        <f>AND('Listado General'!#REF!,"AAAAAH+l+zU=")</f>
        <v>#REF!</v>
      </c>
      <c r="BC14" t="e">
        <f>AND('Listado General'!#REF!,"AAAAAH+l+zY=")</f>
        <v>#REF!</v>
      </c>
      <c r="BD14" t="e">
        <f>AND('Listado General'!#REF!,"AAAAAH+l+zc=")</f>
        <v>#REF!</v>
      </c>
      <c r="BE14" t="e">
        <f>AND('Listado General'!#REF!,"AAAAAH+l+zg=")</f>
        <v>#REF!</v>
      </c>
      <c r="BF14" t="e">
        <f>IF('Listado General'!#REF!,"AAAAAH+l+zk=",0)</f>
        <v>#REF!</v>
      </c>
      <c r="BG14" t="e">
        <f>AND('Listado General'!#REF!,"AAAAAH+l+zo=")</f>
        <v>#REF!</v>
      </c>
      <c r="BH14" t="e">
        <f>AND('Listado General'!#REF!,"AAAAAH+l+zs=")</f>
        <v>#REF!</v>
      </c>
      <c r="BI14" t="e">
        <f>AND('Listado General'!#REF!,"AAAAAH+l+zw=")</f>
        <v>#REF!</v>
      </c>
      <c r="BJ14" t="e">
        <f>AND('Listado General'!#REF!,"AAAAAH+l+z0=")</f>
        <v>#REF!</v>
      </c>
      <c r="BK14" t="e">
        <f>AND('Listado General'!#REF!,"AAAAAH+l+z4=")</f>
        <v>#REF!</v>
      </c>
      <c r="BL14" t="e">
        <f>AND('Listado General'!#REF!,"AAAAAH+l+z8=")</f>
        <v>#REF!</v>
      </c>
      <c r="BM14" t="e">
        <f>AND('Listado General'!#REF!,"AAAAAH+l+0A=")</f>
        <v>#REF!</v>
      </c>
      <c r="BN14" t="e">
        <f>AND('Listado General'!#REF!,"AAAAAH+l+0E=")</f>
        <v>#REF!</v>
      </c>
      <c r="BO14" t="e">
        <f>AND('Listado General'!#REF!,"AAAAAH+l+0I=")</f>
        <v>#REF!</v>
      </c>
      <c r="BP14" t="e">
        <f>IF('Listado General'!#REF!,"AAAAAH+l+0M=",0)</f>
        <v>#REF!</v>
      </c>
      <c r="BQ14" t="e">
        <f>AND('Listado General'!#REF!,"AAAAAH+l+0Q=")</f>
        <v>#REF!</v>
      </c>
      <c r="BR14" t="e">
        <f>AND('Listado General'!#REF!,"AAAAAH+l+0U=")</f>
        <v>#REF!</v>
      </c>
      <c r="BS14" t="e">
        <f>AND('Listado General'!#REF!,"AAAAAH+l+0Y=")</f>
        <v>#REF!</v>
      </c>
      <c r="BT14" t="e">
        <f>AND('Listado General'!#REF!,"AAAAAH+l+0c=")</f>
        <v>#REF!</v>
      </c>
      <c r="BU14" t="e">
        <f>AND('Listado General'!#REF!,"AAAAAH+l+0g=")</f>
        <v>#REF!</v>
      </c>
      <c r="BV14" t="e">
        <f>AND('Listado General'!#REF!,"AAAAAH+l+0k=")</f>
        <v>#REF!</v>
      </c>
      <c r="BW14" t="e">
        <f>AND('Listado General'!#REF!,"AAAAAH+l+0o=")</f>
        <v>#REF!</v>
      </c>
      <c r="BX14" t="e">
        <f>AND('Listado General'!#REF!,"AAAAAH+l+0s=")</f>
        <v>#REF!</v>
      </c>
      <c r="BY14" t="e">
        <f>AND('Listado General'!#REF!,"AAAAAH+l+0w=")</f>
        <v>#REF!</v>
      </c>
      <c r="BZ14" t="e">
        <f>IF('Listado General'!#REF!,"AAAAAH+l+00=",0)</f>
        <v>#REF!</v>
      </c>
      <c r="CA14" t="e">
        <f>AND('Listado General'!#REF!,"AAAAAH+l+04=")</f>
        <v>#REF!</v>
      </c>
      <c r="CB14" t="e">
        <f>AND('Listado General'!#REF!,"AAAAAH+l+08=")</f>
        <v>#REF!</v>
      </c>
      <c r="CC14" t="e">
        <f>AND('Listado General'!#REF!,"AAAAAH+l+1A=")</f>
        <v>#REF!</v>
      </c>
      <c r="CD14" t="e">
        <f>AND('Listado General'!#REF!,"AAAAAH+l+1E=")</f>
        <v>#REF!</v>
      </c>
      <c r="CE14" t="e">
        <f>AND('Listado General'!#REF!,"AAAAAH+l+1I=")</f>
        <v>#REF!</v>
      </c>
      <c r="CF14" t="e">
        <f>AND('Listado General'!#REF!,"AAAAAH+l+1M=")</f>
        <v>#REF!</v>
      </c>
      <c r="CG14" t="e">
        <f>AND('Listado General'!#REF!,"AAAAAH+l+1Q=")</f>
        <v>#REF!</v>
      </c>
      <c r="CH14" t="e">
        <f>AND('Listado General'!#REF!,"AAAAAH+l+1U=")</f>
        <v>#REF!</v>
      </c>
      <c r="CI14" t="e">
        <f>AND('Listado General'!#REF!,"AAAAAH+l+1Y=")</f>
        <v>#REF!</v>
      </c>
      <c r="CJ14" t="e">
        <f>IF('Listado General'!#REF!,"AAAAAH+l+1c=",0)</f>
        <v>#REF!</v>
      </c>
      <c r="CK14" t="e">
        <f>AND('Listado General'!#REF!,"AAAAAH+l+1g=")</f>
        <v>#REF!</v>
      </c>
      <c r="CL14" t="e">
        <f>AND('Listado General'!#REF!,"AAAAAH+l+1k=")</f>
        <v>#REF!</v>
      </c>
      <c r="CM14" t="e">
        <f>AND('Listado General'!#REF!,"AAAAAH+l+1o=")</f>
        <v>#REF!</v>
      </c>
      <c r="CN14" t="e">
        <f>AND('Listado General'!#REF!,"AAAAAH+l+1s=")</f>
        <v>#REF!</v>
      </c>
      <c r="CO14" t="e">
        <f>AND('Listado General'!#REF!,"AAAAAH+l+1w=")</f>
        <v>#REF!</v>
      </c>
      <c r="CP14" t="e">
        <f>AND('Listado General'!#REF!,"AAAAAH+l+10=")</f>
        <v>#REF!</v>
      </c>
      <c r="CQ14" t="e">
        <f>AND('Listado General'!#REF!,"AAAAAH+l+14=")</f>
        <v>#REF!</v>
      </c>
      <c r="CR14" t="e">
        <f>AND('Listado General'!#REF!,"AAAAAH+l+18=")</f>
        <v>#REF!</v>
      </c>
      <c r="CS14" t="e">
        <f>AND('Listado General'!#REF!,"AAAAAH+l+2A=")</f>
        <v>#REF!</v>
      </c>
      <c r="CT14" t="e">
        <f>IF('Listado General'!#REF!,"AAAAAH+l+2E=",0)</f>
        <v>#REF!</v>
      </c>
      <c r="CU14" t="e">
        <f>AND('Listado General'!#REF!,"AAAAAH+l+2I=")</f>
        <v>#REF!</v>
      </c>
      <c r="CV14" t="e">
        <f>AND('Listado General'!#REF!,"AAAAAH+l+2M=")</f>
        <v>#REF!</v>
      </c>
      <c r="CW14" t="e">
        <f>AND('Listado General'!#REF!,"AAAAAH+l+2Q=")</f>
        <v>#REF!</v>
      </c>
      <c r="CX14" t="e">
        <f>AND('Listado General'!#REF!,"AAAAAH+l+2U=")</f>
        <v>#REF!</v>
      </c>
      <c r="CY14" t="e">
        <f>AND('Listado General'!#REF!,"AAAAAH+l+2Y=")</f>
        <v>#REF!</v>
      </c>
      <c r="CZ14" t="e">
        <f>AND('Listado General'!#REF!,"AAAAAH+l+2c=")</f>
        <v>#REF!</v>
      </c>
      <c r="DA14" t="e">
        <f>AND('Listado General'!#REF!,"AAAAAH+l+2g=")</f>
        <v>#REF!</v>
      </c>
      <c r="DB14" t="e">
        <f>AND('Listado General'!#REF!,"AAAAAH+l+2k=")</f>
        <v>#REF!</v>
      </c>
      <c r="DC14" t="e">
        <f>AND('Listado General'!#REF!,"AAAAAH+l+2o=")</f>
        <v>#REF!</v>
      </c>
      <c r="DD14" t="e">
        <f>IF('Listado General'!#REF!,"AAAAAH+l+2s=",0)</f>
        <v>#REF!</v>
      </c>
      <c r="DE14" t="e">
        <f>AND('Listado General'!#REF!,"AAAAAH+l+2w=")</f>
        <v>#REF!</v>
      </c>
      <c r="DF14" t="e">
        <f>AND('Listado General'!#REF!,"AAAAAH+l+20=")</f>
        <v>#REF!</v>
      </c>
      <c r="DG14" t="e">
        <f>AND('Listado General'!#REF!,"AAAAAH+l+24=")</f>
        <v>#REF!</v>
      </c>
      <c r="DH14" t="e">
        <f>AND('Listado General'!#REF!,"AAAAAH+l+28=")</f>
        <v>#REF!</v>
      </c>
      <c r="DI14" t="e">
        <f>AND('Listado General'!#REF!,"AAAAAH+l+3A=")</f>
        <v>#REF!</v>
      </c>
      <c r="DJ14" t="e">
        <f>AND('Listado General'!#REF!,"AAAAAH+l+3E=")</f>
        <v>#REF!</v>
      </c>
      <c r="DK14" t="e">
        <f>AND('Listado General'!#REF!,"AAAAAH+l+3I=")</f>
        <v>#REF!</v>
      </c>
      <c r="DL14" t="e">
        <f>AND('Listado General'!#REF!,"AAAAAH+l+3M=")</f>
        <v>#REF!</v>
      </c>
      <c r="DM14" t="e">
        <f>AND('Listado General'!#REF!,"AAAAAH+l+3Q=")</f>
        <v>#REF!</v>
      </c>
      <c r="DN14" t="e">
        <f>IF('Listado General'!#REF!,"AAAAAH+l+3U=",0)</f>
        <v>#REF!</v>
      </c>
      <c r="DO14" t="e">
        <f>AND('Listado General'!#REF!,"AAAAAH+l+3Y=")</f>
        <v>#REF!</v>
      </c>
      <c r="DP14" t="e">
        <f>AND('Listado General'!#REF!,"AAAAAH+l+3c=")</f>
        <v>#REF!</v>
      </c>
      <c r="DQ14" t="e">
        <f>AND('Listado General'!#REF!,"AAAAAH+l+3g=")</f>
        <v>#REF!</v>
      </c>
      <c r="DR14" t="e">
        <f>AND('Listado General'!#REF!,"AAAAAH+l+3k=")</f>
        <v>#REF!</v>
      </c>
      <c r="DS14" t="e">
        <f>AND('Listado General'!#REF!,"AAAAAH+l+3o=")</f>
        <v>#REF!</v>
      </c>
      <c r="DT14" t="e">
        <f>AND('Listado General'!#REF!,"AAAAAH+l+3s=")</f>
        <v>#REF!</v>
      </c>
      <c r="DU14" t="e">
        <f>AND('Listado General'!#REF!,"AAAAAH+l+3w=")</f>
        <v>#REF!</v>
      </c>
      <c r="DV14" t="e">
        <f>AND('Listado General'!#REF!,"AAAAAH+l+30=")</f>
        <v>#REF!</v>
      </c>
      <c r="DW14" t="e">
        <f>AND('Listado General'!#REF!,"AAAAAH+l+34=")</f>
        <v>#REF!</v>
      </c>
      <c r="DX14" t="e">
        <f>IF('Listado General'!#REF!,"AAAAAH+l+38=",0)</f>
        <v>#REF!</v>
      </c>
      <c r="DY14" t="e">
        <f>AND('Listado General'!#REF!,"AAAAAH+l+4A=")</f>
        <v>#REF!</v>
      </c>
      <c r="DZ14" t="e">
        <f>AND('Listado General'!#REF!,"AAAAAH+l+4E=")</f>
        <v>#REF!</v>
      </c>
      <c r="EA14" t="e">
        <f>AND('Listado General'!#REF!,"AAAAAH+l+4I=")</f>
        <v>#REF!</v>
      </c>
      <c r="EB14" t="e">
        <f>AND('Listado General'!#REF!,"AAAAAH+l+4M=")</f>
        <v>#REF!</v>
      </c>
      <c r="EC14" t="e">
        <f>AND('Listado General'!#REF!,"AAAAAH+l+4Q=")</f>
        <v>#REF!</v>
      </c>
      <c r="ED14" t="e">
        <f>AND('Listado General'!#REF!,"AAAAAH+l+4U=")</f>
        <v>#REF!</v>
      </c>
      <c r="EE14" t="e">
        <f>AND('Listado General'!#REF!,"AAAAAH+l+4Y=")</f>
        <v>#REF!</v>
      </c>
      <c r="EF14" t="e">
        <f>AND('Listado General'!#REF!,"AAAAAH+l+4c=")</f>
        <v>#REF!</v>
      </c>
      <c r="EG14" t="e">
        <f>AND('Listado General'!#REF!,"AAAAAH+l+4g=")</f>
        <v>#REF!</v>
      </c>
      <c r="EH14" t="e">
        <f>IF('Listado General'!#REF!,"AAAAAH+l+4k=",0)</f>
        <v>#REF!</v>
      </c>
      <c r="EI14" t="e">
        <f>AND('Listado General'!#REF!,"AAAAAH+l+4o=")</f>
        <v>#REF!</v>
      </c>
      <c r="EJ14" t="e">
        <f>AND('Listado General'!#REF!,"AAAAAH+l+4s=")</f>
        <v>#REF!</v>
      </c>
      <c r="EK14" t="e">
        <f>AND('Listado General'!#REF!,"AAAAAH+l+4w=")</f>
        <v>#REF!</v>
      </c>
      <c r="EL14" t="e">
        <f>AND('Listado General'!#REF!,"AAAAAH+l+40=")</f>
        <v>#REF!</v>
      </c>
      <c r="EM14" t="e">
        <f>AND('Listado General'!#REF!,"AAAAAH+l+44=")</f>
        <v>#REF!</v>
      </c>
      <c r="EN14" t="e">
        <f>AND('Listado General'!#REF!,"AAAAAH+l+48=")</f>
        <v>#REF!</v>
      </c>
      <c r="EO14" t="e">
        <f>AND('Listado General'!#REF!,"AAAAAH+l+5A=")</f>
        <v>#REF!</v>
      </c>
      <c r="EP14" t="e">
        <f>AND('Listado General'!#REF!,"AAAAAH+l+5E=")</f>
        <v>#REF!</v>
      </c>
      <c r="EQ14" t="e">
        <f>AND('Listado General'!#REF!,"AAAAAH+l+5I=")</f>
        <v>#REF!</v>
      </c>
      <c r="ER14" t="e">
        <f>IF('Listado General'!#REF!,"AAAAAH+l+5M=",0)</f>
        <v>#REF!</v>
      </c>
      <c r="ES14" t="e">
        <f>AND('Listado General'!#REF!,"AAAAAH+l+5Q=")</f>
        <v>#REF!</v>
      </c>
      <c r="ET14" t="e">
        <f>AND('Listado General'!#REF!,"AAAAAH+l+5U=")</f>
        <v>#REF!</v>
      </c>
      <c r="EU14" t="e">
        <f>AND('Listado General'!#REF!,"AAAAAH+l+5Y=")</f>
        <v>#REF!</v>
      </c>
      <c r="EV14" t="e">
        <f>AND('Listado General'!#REF!,"AAAAAH+l+5c=")</f>
        <v>#REF!</v>
      </c>
      <c r="EW14" t="e">
        <f>AND('Listado General'!#REF!,"AAAAAH+l+5g=")</f>
        <v>#REF!</v>
      </c>
      <c r="EX14" t="e">
        <f>AND('Listado General'!#REF!,"AAAAAH+l+5k=")</f>
        <v>#REF!</v>
      </c>
      <c r="EY14" t="e">
        <f>AND('Listado General'!#REF!,"AAAAAH+l+5o=")</f>
        <v>#REF!</v>
      </c>
      <c r="EZ14" t="e">
        <f>AND('Listado General'!#REF!,"AAAAAH+l+5s=")</f>
        <v>#REF!</v>
      </c>
      <c r="FA14" t="e">
        <f>AND('Listado General'!#REF!,"AAAAAH+l+5w=")</f>
        <v>#REF!</v>
      </c>
      <c r="FB14" t="e">
        <f>IF('Listado General'!#REF!,"AAAAAH+l+50=",0)</f>
        <v>#REF!</v>
      </c>
      <c r="FC14" t="e">
        <f>AND('Listado General'!#REF!,"AAAAAH+l+54=")</f>
        <v>#REF!</v>
      </c>
      <c r="FD14" t="e">
        <f>AND('Listado General'!#REF!,"AAAAAH+l+58=")</f>
        <v>#REF!</v>
      </c>
      <c r="FE14" t="e">
        <f>AND('Listado General'!#REF!,"AAAAAH+l+6A=")</f>
        <v>#REF!</v>
      </c>
      <c r="FF14" t="e">
        <f>AND('Listado General'!#REF!,"AAAAAH+l+6E=")</f>
        <v>#REF!</v>
      </c>
      <c r="FG14" t="e">
        <f>AND('Listado General'!#REF!,"AAAAAH+l+6I=")</f>
        <v>#REF!</v>
      </c>
      <c r="FH14" t="e">
        <f>AND('Listado General'!#REF!,"AAAAAH+l+6M=")</f>
        <v>#REF!</v>
      </c>
      <c r="FI14" t="e">
        <f>AND('Listado General'!#REF!,"AAAAAH+l+6Q=")</f>
        <v>#REF!</v>
      </c>
      <c r="FJ14" t="e">
        <f>AND('Listado General'!#REF!,"AAAAAH+l+6U=")</f>
        <v>#REF!</v>
      </c>
      <c r="FK14" t="e">
        <f>AND('Listado General'!#REF!,"AAAAAH+l+6Y=")</f>
        <v>#REF!</v>
      </c>
      <c r="FL14" t="e">
        <f>IF('Listado General'!#REF!,"AAAAAH+l+6c=",0)</f>
        <v>#REF!</v>
      </c>
      <c r="FM14" t="e">
        <f>AND('Listado General'!#REF!,"AAAAAH+l+6g=")</f>
        <v>#REF!</v>
      </c>
      <c r="FN14" t="e">
        <f>AND('Listado General'!#REF!,"AAAAAH+l+6k=")</f>
        <v>#REF!</v>
      </c>
      <c r="FO14" t="e">
        <f>AND('Listado General'!#REF!,"AAAAAH+l+6o=")</f>
        <v>#REF!</v>
      </c>
      <c r="FP14" t="e">
        <f>AND('Listado General'!#REF!,"AAAAAH+l+6s=")</f>
        <v>#REF!</v>
      </c>
      <c r="FQ14" t="e">
        <f>AND('Listado General'!#REF!,"AAAAAH+l+6w=")</f>
        <v>#REF!</v>
      </c>
      <c r="FR14" t="e">
        <f>AND('Listado General'!#REF!,"AAAAAH+l+60=")</f>
        <v>#REF!</v>
      </c>
      <c r="FS14" t="e">
        <f>AND('Listado General'!#REF!,"AAAAAH+l+64=")</f>
        <v>#REF!</v>
      </c>
      <c r="FT14" t="e">
        <f>AND('Listado General'!#REF!,"AAAAAH+l+68=")</f>
        <v>#REF!</v>
      </c>
      <c r="FU14" t="e">
        <f>AND('Listado General'!#REF!,"AAAAAH+l+7A=")</f>
        <v>#REF!</v>
      </c>
      <c r="FV14" t="e">
        <f>IF('Listado General'!#REF!,"AAAAAH+l+7E=",0)</f>
        <v>#REF!</v>
      </c>
      <c r="FW14" t="e">
        <f>AND('Listado General'!#REF!,"AAAAAH+l+7I=")</f>
        <v>#REF!</v>
      </c>
      <c r="FX14" t="e">
        <f>AND('Listado General'!#REF!,"AAAAAH+l+7M=")</f>
        <v>#REF!</v>
      </c>
      <c r="FY14" t="e">
        <f>AND('Listado General'!#REF!,"AAAAAH+l+7Q=")</f>
        <v>#REF!</v>
      </c>
      <c r="FZ14" t="e">
        <f>AND('Listado General'!#REF!,"AAAAAH+l+7U=")</f>
        <v>#REF!</v>
      </c>
      <c r="GA14" t="e">
        <f>AND('Listado General'!#REF!,"AAAAAH+l+7Y=")</f>
        <v>#REF!</v>
      </c>
      <c r="GB14" t="e">
        <f>AND('Listado General'!#REF!,"AAAAAH+l+7c=")</f>
        <v>#REF!</v>
      </c>
      <c r="GC14" t="e">
        <f>AND('Listado General'!#REF!,"AAAAAH+l+7g=")</f>
        <v>#REF!</v>
      </c>
      <c r="GD14" t="e">
        <f>AND('Listado General'!#REF!,"AAAAAH+l+7k=")</f>
        <v>#REF!</v>
      </c>
      <c r="GE14" t="e">
        <f>AND('Listado General'!#REF!,"AAAAAH+l+7o=")</f>
        <v>#REF!</v>
      </c>
      <c r="GF14" t="e">
        <f>IF('Listado General'!#REF!,"AAAAAH+l+7s=",0)</f>
        <v>#REF!</v>
      </c>
      <c r="GG14" t="e">
        <f>AND('Listado General'!#REF!,"AAAAAH+l+7w=")</f>
        <v>#REF!</v>
      </c>
      <c r="GH14" t="e">
        <f>AND('Listado General'!#REF!,"AAAAAH+l+70=")</f>
        <v>#REF!</v>
      </c>
      <c r="GI14" t="e">
        <f>AND('Listado General'!#REF!,"AAAAAH+l+74=")</f>
        <v>#REF!</v>
      </c>
      <c r="GJ14" t="e">
        <f>AND('Listado General'!#REF!,"AAAAAH+l+78=")</f>
        <v>#REF!</v>
      </c>
      <c r="GK14" t="e">
        <f>AND('Listado General'!#REF!,"AAAAAH+l+8A=")</f>
        <v>#REF!</v>
      </c>
      <c r="GL14" t="e">
        <f>AND('Listado General'!#REF!,"AAAAAH+l+8E=")</f>
        <v>#REF!</v>
      </c>
      <c r="GM14" t="e">
        <f>AND('Listado General'!#REF!,"AAAAAH+l+8I=")</f>
        <v>#REF!</v>
      </c>
      <c r="GN14" t="e">
        <f>AND('Listado General'!#REF!,"AAAAAH+l+8M=")</f>
        <v>#REF!</v>
      </c>
      <c r="GO14" t="e">
        <f>AND('Listado General'!#REF!,"AAAAAH+l+8Q=")</f>
        <v>#REF!</v>
      </c>
      <c r="GP14" t="e">
        <f>IF('Listado General'!#REF!,"AAAAAH+l+8U=",0)</f>
        <v>#REF!</v>
      </c>
      <c r="GQ14" t="e">
        <f>AND('Listado General'!#REF!,"AAAAAH+l+8Y=")</f>
        <v>#REF!</v>
      </c>
      <c r="GR14" t="e">
        <f>AND('Listado General'!#REF!,"AAAAAH+l+8c=")</f>
        <v>#REF!</v>
      </c>
      <c r="GS14" t="e">
        <f>AND('Listado General'!#REF!,"AAAAAH+l+8g=")</f>
        <v>#REF!</v>
      </c>
      <c r="GT14" t="e">
        <f>AND('Listado General'!#REF!,"AAAAAH+l+8k=")</f>
        <v>#REF!</v>
      </c>
      <c r="GU14" t="e">
        <f>AND('Listado General'!#REF!,"AAAAAH+l+8o=")</f>
        <v>#REF!</v>
      </c>
      <c r="GV14" t="e">
        <f>AND('Listado General'!#REF!,"AAAAAH+l+8s=")</f>
        <v>#REF!</v>
      </c>
      <c r="GW14" t="e">
        <f>AND('Listado General'!#REF!,"AAAAAH+l+8w=")</f>
        <v>#REF!</v>
      </c>
      <c r="GX14" t="e">
        <f>AND('Listado General'!#REF!,"AAAAAH+l+80=")</f>
        <v>#REF!</v>
      </c>
      <c r="GY14" t="e">
        <f>AND('Listado General'!#REF!,"AAAAAH+l+84=")</f>
        <v>#REF!</v>
      </c>
      <c r="GZ14" t="e">
        <f>IF('Listado General'!#REF!,"AAAAAH+l+88=",0)</f>
        <v>#REF!</v>
      </c>
      <c r="HA14" t="e">
        <f>AND('Listado General'!#REF!,"AAAAAH+l+9A=")</f>
        <v>#REF!</v>
      </c>
      <c r="HB14" t="e">
        <f>AND('Listado General'!#REF!,"AAAAAH+l+9E=")</f>
        <v>#REF!</v>
      </c>
      <c r="HC14" t="e">
        <f>AND('Listado General'!#REF!,"AAAAAH+l+9I=")</f>
        <v>#REF!</v>
      </c>
      <c r="HD14" t="e">
        <f>AND('Listado General'!#REF!,"AAAAAH+l+9M=")</f>
        <v>#REF!</v>
      </c>
      <c r="HE14" t="e">
        <f>AND('Listado General'!#REF!,"AAAAAH+l+9Q=")</f>
        <v>#REF!</v>
      </c>
      <c r="HF14" t="e">
        <f>AND('Listado General'!#REF!,"AAAAAH+l+9U=")</f>
        <v>#REF!</v>
      </c>
      <c r="HG14" t="e">
        <f>AND('Listado General'!#REF!,"AAAAAH+l+9Y=")</f>
        <v>#REF!</v>
      </c>
      <c r="HH14" t="e">
        <f>AND('Listado General'!#REF!,"AAAAAH+l+9c=")</f>
        <v>#REF!</v>
      </c>
      <c r="HI14" t="e">
        <f>AND('Listado General'!#REF!,"AAAAAH+l+9g=")</f>
        <v>#REF!</v>
      </c>
      <c r="HJ14" t="e">
        <f>IF('Listado General'!#REF!,"AAAAAH+l+9k=",0)</f>
        <v>#REF!</v>
      </c>
      <c r="HK14" t="e">
        <f>AND('Listado General'!#REF!,"AAAAAH+l+9o=")</f>
        <v>#REF!</v>
      </c>
      <c r="HL14" t="e">
        <f>AND('Listado General'!#REF!,"AAAAAH+l+9s=")</f>
        <v>#REF!</v>
      </c>
      <c r="HM14" t="e">
        <f>AND('Listado General'!#REF!,"AAAAAH+l+9w=")</f>
        <v>#REF!</v>
      </c>
      <c r="HN14" t="e">
        <f>AND('Listado General'!#REF!,"AAAAAH+l+90=")</f>
        <v>#REF!</v>
      </c>
      <c r="HO14" t="e">
        <f>AND('Listado General'!#REF!,"AAAAAH+l+94=")</f>
        <v>#REF!</v>
      </c>
      <c r="HP14" t="e">
        <f>AND('Listado General'!#REF!,"AAAAAH+l+98=")</f>
        <v>#REF!</v>
      </c>
      <c r="HQ14" t="e">
        <f>AND('Listado General'!#REF!,"AAAAAH+l++A=")</f>
        <v>#REF!</v>
      </c>
      <c r="HR14" t="e">
        <f>AND('Listado General'!#REF!,"AAAAAH+l++E=")</f>
        <v>#REF!</v>
      </c>
      <c r="HS14" t="e">
        <f>AND('Listado General'!#REF!,"AAAAAH+l++I=")</f>
        <v>#REF!</v>
      </c>
      <c r="HT14" t="e">
        <f>IF('Listado General'!#REF!,"AAAAAH+l++M=",0)</f>
        <v>#REF!</v>
      </c>
      <c r="HU14" t="e">
        <f>AND('Listado General'!#REF!,"AAAAAH+l++Q=")</f>
        <v>#REF!</v>
      </c>
      <c r="HV14" t="e">
        <f>AND('Listado General'!#REF!,"AAAAAH+l++U=")</f>
        <v>#REF!</v>
      </c>
      <c r="HW14" t="e">
        <f>AND('Listado General'!#REF!,"AAAAAH+l++Y=")</f>
        <v>#REF!</v>
      </c>
      <c r="HX14" t="e">
        <f>AND('Listado General'!#REF!,"AAAAAH+l++c=")</f>
        <v>#REF!</v>
      </c>
      <c r="HY14" t="e">
        <f>AND('Listado General'!#REF!,"AAAAAH+l++g=")</f>
        <v>#REF!</v>
      </c>
      <c r="HZ14" t="e">
        <f>AND('Listado General'!#REF!,"AAAAAH+l++k=")</f>
        <v>#REF!</v>
      </c>
      <c r="IA14" t="e">
        <f>AND('Listado General'!#REF!,"AAAAAH+l++o=")</f>
        <v>#REF!</v>
      </c>
      <c r="IB14" t="e">
        <f>AND('Listado General'!#REF!,"AAAAAH+l++s=")</f>
        <v>#REF!</v>
      </c>
      <c r="IC14" t="e">
        <f>AND('Listado General'!#REF!,"AAAAAH+l++w=")</f>
        <v>#REF!</v>
      </c>
      <c r="ID14" t="e">
        <f>IF('Listado General'!#REF!,"AAAAAH+l++0=",0)</f>
        <v>#REF!</v>
      </c>
      <c r="IE14" t="e">
        <f>AND('Listado General'!#REF!,"AAAAAH+l++4=")</f>
        <v>#REF!</v>
      </c>
      <c r="IF14" t="e">
        <f>AND('Listado General'!#REF!,"AAAAAH+l++8=")</f>
        <v>#REF!</v>
      </c>
      <c r="IG14" t="e">
        <f>AND('Listado General'!#REF!,"AAAAAH+l+/A=")</f>
        <v>#REF!</v>
      </c>
      <c r="IH14" t="e">
        <f>AND('Listado General'!#REF!,"AAAAAH+l+/E=")</f>
        <v>#REF!</v>
      </c>
      <c r="II14" t="e">
        <f>AND('Listado General'!#REF!,"AAAAAH+l+/I=")</f>
        <v>#REF!</v>
      </c>
      <c r="IJ14" t="e">
        <f>AND('Listado General'!#REF!,"AAAAAH+l+/M=")</f>
        <v>#REF!</v>
      </c>
      <c r="IK14" t="e">
        <f>AND('Listado General'!#REF!,"AAAAAH+l+/Q=")</f>
        <v>#REF!</v>
      </c>
      <c r="IL14" t="e">
        <f>AND('Listado General'!#REF!,"AAAAAH+l+/U=")</f>
        <v>#REF!</v>
      </c>
      <c r="IM14" t="e">
        <f>AND('Listado General'!#REF!,"AAAAAH+l+/Y=")</f>
        <v>#REF!</v>
      </c>
      <c r="IN14" t="e">
        <f>IF('Listado General'!#REF!,"AAAAAH+l+/c=",0)</f>
        <v>#REF!</v>
      </c>
      <c r="IO14" t="e">
        <f>AND('Listado General'!#REF!,"AAAAAH+l+/g=")</f>
        <v>#REF!</v>
      </c>
      <c r="IP14" t="e">
        <f>AND('Listado General'!#REF!,"AAAAAH+l+/k=")</f>
        <v>#REF!</v>
      </c>
      <c r="IQ14" t="e">
        <f>AND('Listado General'!#REF!,"AAAAAH+l+/o=")</f>
        <v>#REF!</v>
      </c>
      <c r="IR14" t="e">
        <f>AND('Listado General'!#REF!,"AAAAAH+l+/s=")</f>
        <v>#REF!</v>
      </c>
      <c r="IS14" t="e">
        <f>AND('Listado General'!#REF!,"AAAAAH+l+/w=")</f>
        <v>#REF!</v>
      </c>
      <c r="IT14" t="e">
        <f>AND('Listado General'!#REF!,"AAAAAH+l+/0=")</f>
        <v>#REF!</v>
      </c>
      <c r="IU14" t="e">
        <f>AND('Listado General'!#REF!,"AAAAAH+l+/4=")</f>
        <v>#REF!</v>
      </c>
      <c r="IV14" t="e">
        <f>AND('Listado General'!#REF!,"AAAAAH+l+/8=")</f>
        <v>#REF!</v>
      </c>
    </row>
    <row r="15" spans="1:256" ht="12.75">
      <c r="A15" t="e">
        <f>AND('Listado General'!#REF!,"AAAAAH216gA=")</f>
        <v>#REF!</v>
      </c>
      <c r="B15" t="e">
        <f>IF('Listado General'!#REF!,"AAAAAH216gE=",0)</f>
        <v>#REF!</v>
      </c>
      <c r="C15" t="e">
        <f>AND('Listado General'!#REF!,"AAAAAH216gI=")</f>
        <v>#REF!</v>
      </c>
      <c r="D15" t="e">
        <f>AND('Listado General'!#REF!,"AAAAAH216gM=")</f>
        <v>#REF!</v>
      </c>
      <c r="E15" t="e">
        <f>AND('Listado General'!#REF!,"AAAAAH216gQ=")</f>
        <v>#REF!</v>
      </c>
      <c r="F15" t="e">
        <f>AND('Listado General'!#REF!,"AAAAAH216gU=")</f>
        <v>#REF!</v>
      </c>
      <c r="G15" t="e">
        <f>AND('Listado General'!#REF!,"AAAAAH216gY=")</f>
        <v>#REF!</v>
      </c>
      <c r="H15" t="e">
        <f>AND('Listado General'!#REF!,"AAAAAH216gc=")</f>
        <v>#REF!</v>
      </c>
      <c r="I15" t="e">
        <f>AND('Listado General'!#REF!,"AAAAAH216gg=")</f>
        <v>#REF!</v>
      </c>
      <c r="J15" t="e">
        <f>AND('Listado General'!#REF!,"AAAAAH216gk=")</f>
        <v>#REF!</v>
      </c>
      <c r="K15" t="e">
        <f>AND('Listado General'!#REF!,"AAAAAH216go=")</f>
        <v>#REF!</v>
      </c>
      <c r="L15" t="e">
        <f>IF('Listado General'!#REF!,"AAAAAH216gs=",0)</f>
        <v>#REF!</v>
      </c>
      <c r="M15" t="e">
        <f>AND('Listado General'!#REF!,"AAAAAH216gw=")</f>
        <v>#REF!</v>
      </c>
      <c r="N15" t="e">
        <f>AND('Listado General'!#REF!,"AAAAAH216g0=")</f>
        <v>#REF!</v>
      </c>
      <c r="O15" t="e">
        <f>AND('Listado General'!#REF!,"AAAAAH216g4=")</f>
        <v>#REF!</v>
      </c>
      <c r="P15" t="e">
        <f>AND('Listado General'!#REF!,"AAAAAH216g8=")</f>
        <v>#REF!</v>
      </c>
      <c r="Q15" t="e">
        <f>AND('Listado General'!#REF!,"AAAAAH216hA=")</f>
        <v>#REF!</v>
      </c>
      <c r="R15" t="e">
        <f>AND('Listado General'!#REF!,"AAAAAH216hE=")</f>
        <v>#REF!</v>
      </c>
      <c r="S15" t="e">
        <f>AND('Listado General'!#REF!,"AAAAAH216hI=")</f>
        <v>#REF!</v>
      </c>
      <c r="T15" t="e">
        <f>AND('Listado General'!#REF!,"AAAAAH216hM=")</f>
        <v>#REF!</v>
      </c>
      <c r="U15" t="e">
        <f>AND('Listado General'!#REF!,"AAAAAH216hQ=")</f>
        <v>#REF!</v>
      </c>
      <c r="V15" t="e">
        <f>IF('Listado General'!#REF!,"AAAAAH216hU=",0)</f>
        <v>#REF!</v>
      </c>
      <c r="W15" t="e">
        <f>AND('Listado General'!#REF!,"AAAAAH216hY=")</f>
        <v>#REF!</v>
      </c>
      <c r="X15" t="e">
        <f>AND('Listado General'!#REF!,"AAAAAH216hc=")</f>
        <v>#REF!</v>
      </c>
      <c r="Y15" t="e">
        <f>AND('Listado General'!#REF!,"AAAAAH216hg=")</f>
        <v>#REF!</v>
      </c>
      <c r="Z15" t="e">
        <f>AND('Listado General'!#REF!,"AAAAAH216hk=")</f>
        <v>#REF!</v>
      </c>
      <c r="AA15" t="e">
        <f>AND('Listado General'!#REF!,"AAAAAH216ho=")</f>
        <v>#REF!</v>
      </c>
      <c r="AB15" t="e">
        <f>AND('Listado General'!#REF!,"AAAAAH216hs=")</f>
        <v>#REF!</v>
      </c>
      <c r="AC15" t="e">
        <f>AND('Listado General'!#REF!,"AAAAAH216hw=")</f>
        <v>#REF!</v>
      </c>
      <c r="AD15" t="e">
        <f>AND('Listado General'!#REF!,"AAAAAH216h0=")</f>
        <v>#REF!</v>
      </c>
      <c r="AE15" t="e">
        <f>AND('Listado General'!#REF!,"AAAAAH216h4=")</f>
        <v>#REF!</v>
      </c>
      <c r="AF15" t="e">
        <f>IF('Listado General'!#REF!,"AAAAAH216h8=",0)</f>
        <v>#REF!</v>
      </c>
      <c r="AG15" t="e">
        <f>AND('Listado General'!#REF!,"AAAAAH216iA=")</f>
        <v>#REF!</v>
      </c>
      <c r="AH15" t="e">
        <f>AND('Listado General'!#REF!,"AAAAAH216iE=")</f>
        <v>#REF!</v>
      </c>
      <c r="AI15" t="e">
        <f>AND('Listado General'!#REF!,"AAAAAH216iI=")</f>
        <v>#REF!</v>
      </c>
      <c r="AJ15" t="e">
        <f>AND('Listado General'!#REF!,"AAAAAH216iM=")</f>
        <v>#REF!</v>
      </c>
      <c r="AK15" t="e">
        <f>AND('Listado General'!#REF!,"AAAAAH216iQ=")</f>
        <v>#REF!</v>
      </c>
      <c r="AL15" t="e">
        <f>AND('Listado General'!#REF!,"AAAAAH216iU=")</f>
        <v>#REF!</v>
      </c>
      <c r="AM15" t="e">
        <f>AND('Listado General'!#REF!,"AAAAAH216iY=")</f>
        <v>#REF!</v>
      </c>
      <c r="AN15" t="e">
        <f>AND('Listado General'!#REF!,"AAAAAH216ic=")</f>
        <v>#REF!</v>
      </c>
      <c r="AO15" t="e">
        <f>AND('Listado General'!#REF!,"AAAAAH216ig=")</f>
        <v>#REF!</v>
      </c>
      <c r="AP15" t="e">
        <f>IF('Listado General'!#REF!,"AAAAAH216ik=",0)</f>
        <v>#REF!</v>
      </c>
      <c r="AQ15" t="e">
        <f>AND('Listado General'!#REF!,"AAAAAH216io=")</f>
        <v>#REF!</v>
      </c>
      <c r="AR15" t="e">
        <f>AND('Listado General'!#REF!,"AAAAAH216is=")</f>
        <v>#REF!</v>
      </c>
      <c r="AS15" t="e">
        <f>AND('Listado General'!#REF!,"AAAAAH216iw=")</f>
        <v>#REF!</v>
      </c>
      <c r="AT15" t="e">
        <f>AND('Listado General'!#REF!,"AAAAAH216i0=")</f>
        <v>#REF!</v>
      </c>
      <c r="AU15" t="e">
        <f>AND('Listado General'!#REF!,"AAAAAH216i4=")</f>
        <v>#REF!</v>
      </c>
      <c r="AV15" t="e">
        <f>AND('Listado General'!#REF!,"AAAAAH216i8=")</f>
        <v>#REF!</v>
      </c>
      <c r="AW15" t="e">
        <f>AND('Listado General'!#REF!,"AAAAAH216jA=")</f>
        <v>#REF!</v>
      </c>
      <c r="AX15" t="e">
        <f>AND('Listado General'!#REF!,"AAAAAH216jE=")</f>
        <v>#REF!</v>
      </c>
      <c r="AY15" t="e">
        <f>AND('Listado General'!#REF!,"AAAAAH216jI=")</f>
        <v>#REF!</v>
      </c>
      <c r="AZ15" t="e">
        <f>IF('Listado General'!#REF!,"AAAAAH216jM=",0)</f>
        <v>#REF!</v>
      </c>
      <c r="BA15" t="e">
        <f>AND('Listado General'!#REF!,"AAAAAH216jQ=")</f>
        <v>#REF!</v>
      </c>
      <c r="BB15" t="e">
        <f>AND('Listado General'!#REF!,"AAAAAH216jU=")</f>
        <v>#REF!</v>
      </c>
      <c r="BC15" t="e">
        <f>AND('Listado General'!#REF!,"AAAAAH216jY=")</f>
        <v>#REF!</v>
      </c>
      <c r="BD15" t="e">
        <f>AND('Listado General'!#REF!,"AAAAAH216jc=")</f>
        <v>#REF!</v>
      </c>
      <c r="BE15" t="e">
        <f>AND('Listado General'!#REF!,"AAAAAH216jg=")</f>
        <v>#REF!</v>
      </c>
      <c r="BF15" t="e">
        <f>AND('Listado General'!#REF!,"AAAAAH216jk=")</f>
        <v>#REF!</v>
      </c>
      <c r="BG15" t="e">
        <f>AND('Listado General'!#REF!,"AAAAAH216jo=")</f>
        <v>#REF!</v>
      </c>
      <c r="BH15" t="e">
        <f>AND('Listado General'!#REF!,"AAAAAH216js=")</f>
        <v>#REF!</v>
      </c>
      <c r="BI15" t="e">
        <f>AND('Listado General'!#REF!,"AAAAAH216jw=")</f>
        <v>#REF!</v>
      </c>
      <c r="BJ15" t="e">
        <f>IF('Listado General'!#REF!,"AAAAAH216j0=",0)</f>
        <v>#REF!</v>
      </c>
      <c r="BK15" t="e">
        <f>AND('Listado General'!#REF!,"AAAAAH216j4=")</f>
        <v>#REF!</v>
      </c>
      <c r="BL15" t="e">
        <f>AND('Listado General'!#REF!,"AAAAAH216j8=")</f>
        <v>#REF!</v>
      </c>
      <c r="BM15" t="e">
        <f>AND('Listado General'!#REF!,"AAAAAH216kA=")</f>
        <v>#REF!</v>
      </c>
      <c r="BN15" t="e">
        <f>AND('Listado General'!#REF!,"AAAAAH216kE=")</f>
        <v>#REF!</v>
      </c>
      <c r="BO15" t="e">
        <f>AND('Listado General'!#REF!,"AAAAAH216kI=")</f>
        <v>#REF!</v>
      </c>
      <c r="BP15" t="e">
        <f>AND('Listado General'!#REF!,"AAAAAH216kM=")</f>
        <v>#REF!</v>
      </c>
      <c r="BQ15" t="e">
        <f>AND('Listado General'!#REF!,"AAAAAH216kQ=")</f>
        <v>#REF!</v>
      </c>
      <c r="BR15" t="e">
        <f>AND('Listado General'!#REF!,"AAAAAH216kU=")</f>
        <v>#REF!</v>
      </c>
      <c r="BS15" t="e">
        <f>AND('Listado General'!#REF!,"AAAAAH216kY=")</f>
        <v>#REF!</v>
      </c>
      <c r="BT15" t="e">
        <f>IF('Listado General'!#REF!,"AAAAAH216kc=",0)</f>
        <v>#REF!</v>
      </c>
      <c r="BU15" t="e">
        <f>AND('Listado General'!#REF!,"AAAAAH216kg=")</f>
        <v>#REF!</v>
      </c>
      <c r="BV15" t="e">
        <f>AND('Listado General'!#REF!,"AAAAAH216kk=")</f>
        <v>#REF!</v>
      </c>
      <c r="BW15" t="e">
        <f>AND('Listado General'!#REF!,"AAAAAH216ko=")</f>
        <v>#REF!</v>
      </c>
      <c r="BX15" t="e">
        <f>AND('Listado General'!#REF!,"AAAAAH216ks=")</f>
        <v>#REF!</v>
      </c>
      <c r="BY15" t="e">
        <f>AND('Listado General'!#REF!,"AAAAAH216kw=")</f>
        <v>#REF!</v>
      </c>
      <c r="BZ15" t="e">
        <f>AND('Listado General'!#REF!,"AAAAAH216k0=")</f>
        <v>#REF!</v>
      </c>
      <c r="CA15" t="e">
        <f>AND('Listado General'!#REF!,"AAAAAH216k4=")</f>
        <v>#REF!</v>
      </c>
      <c r="CB15" t="e">
        <f>AND('Listado General'!#REF!,"AAAAAH216k8=")</f>
        <v>#REF!</v>
      </c>
      <c r="CC15" t="e">
        <f>AND('Listado General'!#REF!,"AAAAAH216lA=")</f>
        <v>#REF!</v>
      </c>
      <c r="CD15" t="e">
        <f>IF('Listado General'!#REF!,"AAAAAH216lE=",0)</f>
        <v>#REF!</v>
      </c>
      <c r="CE15" t="e">
        <f>AND('Listado General'!#REF!,"AAAAAH216lI=")</f>
        <v>#REF!</v>
      </c>
      <c r="CF15" t="e">
        <f>AND('Listado General'!#REF!,"AAAAAH216lM=")</f>
        <v>#REF!</v>
      </c>
      <c r="CG15" t="e">
        <f>AND('Listado General'!#REF!,"AAAAAH216lQ=")</f>
        <v>#REF!</v>
      </c>
      <c r="CH15" t="e">
        <f>AND('Listado General'!#REF!,"AAAAAH216lU=")</f>
        <v>#REF!</v>
      </c>
      <c r="CI15" t="e">
        <f>AND('Listado General'!#REF!,"AAAAAH216lY=")</f>
        <v>#REF!</v>
      </c>
      <c r="CJ15" t="e">
        <f>AND('Listado General'!#REF!,"AAAAAH216lc=")</f>
        <v>#REF!</v>
      </c>
      <c r="CK15" t="e">
        <f>AND('Listado General'!#REF!,"AAAAAH216lg=")</f>
        <v>#REF!</v>
      </c>
      <c r="CL15" t="e">
        <f>AND('Listado General'!#REF!,"AAAAAH216lk=")</f>
        <v>#REF!</v>
      </c>
      <c r="CM15" t="e">
        <f>AND('Listado General'!#REF!,"AAAAAH216lo=")</f>
        <v>#REF!</v>
      </c>
      <c r="CN15" t="e">
        <f>IF('Listado General'!#REF!,"AAAAAH216ls=",0)</f>
        <v>#REF!</v>
      </c>
      <c r="CO15" t="e">
        <f>AND('Listado General'!#REF!,"AAAAAH216lw=")</f>
        <v>#REF!</v>
      </c>
      <c r="CP15" t="e">
        <f>AND('Listado General'!#REF!,"AAAAAH216l0=")</f>
        <v>#REF!</v>
      </c>
      <c r="CQ15" t="e">
        <f>AND('Listado General'!#REF!,"AAAAAH216l4=")</f>
        <v>#REF!</v>
      </c>
      <c r="CR15" t="e">
        <f>AND('Listado General'!#REF!,"AAAAAH216l8=")</f>
        <v>#REF!</v>
      </c>
      <c r="CS15" t="e">
        <f>AND('Listado General'!#REF!,"AAAAAH216mA=")</f>
        <v>#REF!</v>
      </c>
      <c r="CT15" t="e">
        <f>AND('Listado General'!#REF!,"AAAAAH216mE=")</f>
        <v>#REF!</v>
      </c>
      <c r="CU15" t="e">
        <f>AND('Listado General'!#REF!,"AAAAAH216mI=")</f>
        <v>#REF!</v>
      </c>
      <c r="CV15" t="e">
        <f>AND('Listado General'!#REF!,"AAAAAH216mM=")</f>
        <v>#REF!</v>
      </c>
      <c r="CW15" t="e">
        <f>AND('Listado General'!#REF!,"AAAAAH216mQ=")</f>
        <v>#REF!</v>
      </c>
      <c r="CX15" t="e">
        <f>IF('Listado General'!#REF!,"AAAAAH216mU=",0)</f>
        <v>#REF!</v>
      </c>
      <c r="CY15" t="e">
        <f>AND('Listado General'!#REF!,"AAAAAH216mY=")</f>
        <v>#REF!</v>
      </c>
      <c r="CZ15" t="e">
        <f>AND('Listado General'!#REF!,"AAAAAH216mc=")</f>
        <v>#REF!</v>
      </c>
      <c r="DA15" t="e">
        <f>AND('Listado General'!#REF!,"AAAAAH216mg=")</f>
        <v>#REF!</v>
      </c>
      <c r="DB15" t="e">
        <f>AND('Listado General'!#REF!,"AAAAAH216mk=")</f>
        <v>#REF!</v>
      </c>
      <c r="DC15" t="e">
        <f>AND('Listado General'!#REF!,"AAAAAH216mo=")</f>
        <v>#REF!</v>
      </c>
      <c r="DD15" t="e">
        <f>AND('Listado General'!#REF!,"AAAAAH216ms=")</f>
        <v>#REF!</v>
      </c>
      <c r="DE15" t="e">
        <f>AND('Listado General'!#REF!,"AAAAAH216mw=")</f>
        <v>#REF!</v>
      </c>
      <c r="DF15" t="e">
        <f>AND('Listado General'!#REF!,"AAAAAH216m0=")</f>
        <v>#REF!</v>
      </c>
      <c r="DG15" t="e">
        <f>AND('Listado General'!#REF!,"AAAAAH216m4=")</f>
        <v>#REF!</v>
      </c>
      <c r="DH15" t="e">
        <f>IF('Listado General'!#REF!,"AAAAAH216m8=",0)</f>
        <v>#REF!</v>
      </c>
      <c r="DI15" t="e">
        <f>AND('Listado General'!#REF!,"AAAAAH216nA=")</f>
        <v>#REF!</v>
      </c>
      <c r="DJ15" t="e">
        <f>AND('Listado General'!#REF!,"AAAAAH216nE=")</f>
        <v>#REF!</v>
      </c>
      <c r="DK15" t="e">
        <f>AND('Listado General'!#REF!,"AAAAAH216nI=")</f>
        <v>#REF!</v>
      </c>
      <c r="DL15" t="e">
        <f>AND('Listado General'!#REF!,"AAAAAH216nM=")</f>
        <v>#REF!</v>
      </c>
      <c r="DM15" t="e">
        <f>AND('Listado General'!#REF!,"AAAAAH216nQ=")</f>
        <v>#REF!</v>
      </c>
      <c r="DN15" t="e">
        <f>AND('Listado General'!#REF!,"AAAAAH216nU=")</f>
        <v>#REF!</v>
      </c>
      <c r="DO15" t="e">
        <f>AND('Listado General'!#REF!,"AAAAAH216nY=")</f>
        <v>#REF!</v>
      </c>
      <c r="DP15" t="e">
        <f>AND('Listado General'!#REF!,"AAAAAH216nc=")</f>
        <v>#REF!</v>
      </c>
      <c r="DQ15" t="e">
        <f>AND('Listado General'!#REF!,"AAAAAH216ng=")</f>
        <v>#REF!</v>
      </c>
      <c r="DR15" t="e">
        <f>IF('Listado General'!#REF!,"AAAAAH216nk=",0)</f>
        <v>#REF!</v>
      </c>
      <c r="DS15" t="e">
        <f>AND('Listado General'!#REF!,"AAAAAH216no=")</f>
        <v>#REF!</v>
      </c>
      <c r="DT15" t="e">
        <f>AND('Listado General'!#REF!,"AAAAAH216ns=")</f>
        <v>#REF!</v>
      </c>
      <c r="DU15" t="e">
        <f>AND('Listado General'!#REF!,"AAAAAH216nw=")</f>
        <v>#REF!</v>
      </c>
      <c r="DV15" t="e">
        <f>AND('Listado General'!#REF!,"AAAAAH216n0=")</f>
        <v>#REF!</v>
      </c>
      <c r="DW15" t="e">
        <f>AND('Listado General'!#REF!,"AAAAAH216n4=")</f>
        <v>#REF!</v>
      </c>
      <c r="DX15" t="e">
        <f>AND('Listado General'!#REF!,"AAAAAH216n8=")</f>
        <v>#REF!</v>
      </c>
      <c r="DY15" t="e">
        <f>AND('Listado General'!#REF!,"AAAAAH216oA=")</f>
        <v>#REF!</v>
      </c>
      <c r="DZ15" t="e">
        <f>AND('Listado General'!#REF!,"AAAAAH216oE=")</f>
        <v>#REF!</v>
      </c>
      <c r="EA15" t="e">
        <f>AND('Listado General'!#REF!,"AAAAAH216oI=")</f>
        <v>#REF!</v>
      </c>
      <c r="EB15" t="e">
        <f>IF('Listado General'!#REF!,"AAAAAH216oM=",0)</f>
        <v>#REF!</v>
      </c>
      <c r="EC15" t="e">
        <f>AND('Listado General'!#REF!,"AAAAAH216oQ=")</f>
        <v>#REF!</v>
      </c>
      <c r="ED15" t="e">
        <f>AND('Listado General'!#REF!,"AAAAAH216oU=")</f>
        <v>#REF!</v>
      </c>
      <c r="EE15" t="e">
        <f>AND('Listado General'!#REF!,"AAAAAH216oY=")</f>
        <v>#REF!</v>
      </c>
      <c r="EF15" t="e">
        <f>AND('Listado General'!#REF!,"AAAAAH216oc=")</f>
        <v>#REF!</v>
      </c>
      <c r="EG15" t="e">
        <f>AND('Listado General'!#REF!,"AAAAAH216og=")</f>
        <v>#REF!</v>
      </c>
      <c r="EH15" t="e">
        <f>AND('Listado General'!#REF!,"AAAAAH216ok=")</f>
        <v>#REF!</v>
      </c>
      <c r="EI15" t="e">
        <f>AND('Listado General'!#REF!,"AAAAAH216oo=")</f>
        <v>#REF!</v>
      </c>
      <c r="EJ15" t="e">
        <f>AND('Listado General'!#REF!,"AAAAAH216os=")</f>
        <v>#REF!</v>
      </c>
      <c r="EK15" t="e">
        <f>AND('Listado General'!#REF!,"AAAAAH216ow=")</f>
        <v>#REF!</v>
      </c>
      <c r="EL15" t="e">
        <f>IF('Listado General'!#REF!,"AAAAAH216o0=",0)</f>
        <v>#REF!</v>
      </c>
      <c r="EM15" t="e">
        <f>AND('Listado General'!#REF!,"AAAAAH216o4=")</f>
        <v>#REF!</v>
      </c>
      <c r="EN15" t="e">
        <f>AND('Listado General'!#REF!,"AAAAAH216o8=")</f>
        <v>#REF!</v>
      </c>
      <c r="EO15" t="e">
        <f>AND('Listado General'!#REF!,"AAAAAH216pA=")</f>
        <v>#REF!</v>
      </c>
      <c r="EP15" t="e">
        <f>AND('Listado General'!#REF!,"AAAAAH216pE=")</f>
        <v>#REF!</v>
      </c>
      <c r="EQ15" t="e">
        <f>AND('Listado General'!#REF!,"AAAAAH216pI=")</f>
        <v>#REF!</v>
      </c>
      <c r="ER15" t="e">
        <f>AND('Listado General'!#REF!,"AAAAAH216pM=")</f>
        <v>#REF!</v>
      </c>
      <c r="ES15" t="e">
        <f>AND('Listado General'!#REF!,"AAAAAH216pQ=")</f>
        <v>#REF!</v>
      </c>
      <c r="ET15" t="e">
        <f>AND('Listado General'!#REF!,"AAAAAH216pU=")</f>
        <v>#REF!</v>
      </c>
      <c r="EU15" t="e">
        <f>AND('Listado General'!#REF!,"AAAAAH216pY=")</f>
        <v>#REF!</v>
      </c>
      <c r="EV15" t="e">
        <f>IF('Listado General'!#REF!,"AAAAAH216pc=",0)</f>
        <v>#REF!</v>
      </c>
      <c r="EW15" t="e">
        <f>AND('Listado General'!#REF!,"AAAAAH216pg=")</f>
        <v>#REF!</v>
      </c>
      <c r="EX15" t="e">
        <f>AND('Listado General'!#REF!,"AAAAAH216pk=")</f>
        <v>#REF!</v>
      </c>
      <c r="EY15" t="e">
        <f>AND('Listado General'!#REF!,"AAAAAH216po=")</f>
        <v>#REF!</v>
      </c>
      <c r="EZ15" t="e">
        <f>AND('Listado General'!#REF!,"AAAAAH216ps=")</f>
        <v>#REF!</v>
      </c>
      <c r="FA15" t="e">
        <f>AND('Listado General'!#REF!,"AAAAAH216pw=")</f>
        <v>#REF!</v>
      </c>
      <c r="FB15" t="e">
        <f>AND('Listado General'!#REF!,"AAAAAH216p0=")</f>
        <v>#REF!</v>
      </c>
      <c r="FC15" t="e">
        <f>AND('Listado General'!#REF!,"AAAAAH216p4=")</f>
        <v>#REF!</v>
      </c>
      <c r="FD15" t="e">
        <f>AND('Listado General'!#REF!,"AAAAAH216p8=")</f>
        <v>#REF!</v>
      </c>
      <c r="FE15" t="e">
        <f>AND('Listado General'!#REF!,"AAAAAH216qA=")</f>
        <v>#REF!</v>
      </c>
      <c r="FF15" t="e">
        <f>IF('Listado General'!#REF!,"AAAAAH216qE=",0)</f>
        <v>#REF!</v>
      </c>
      <c r="FG15" t="e">
        <f>AND('Listado General'!#REF!,"AAAAAH216qI=")</f>
        <v>#REF!</v>
      </c>
      <c r="FH15" t="e">
        <f>AND('Listado General'!#REF!,"AAAAAH216qM=")</f>
        <v>#REF!</v>
      </c>
      <c r="FI15" t="e">
        <f>AND('Listado General'!#REF!,"AAAAAH216qQ=")</f>
        <v>#REF!</v>
      </c>
      <c r="FJ15" t="e">
        <f>AND('Listado General'!#REF!,"AAAAAH216qU=")</f>
        <v>#REF!</v>
      </c>
      <c r="FK15" t="e">
        <f>AND('Listado General'!#REF!,"AAAAAH216qY=")</f>
        <v>#REF!</v>
      </c>
      <c r="FL15" t="e">
        <f>AND('Listado General'!#REF!,"AAAAAH216qc=")</f>
        <v>#REF!</v>
      </c>
      <c r="FM15" t="e">
        <f>AND('Listado General'!#REF!,"AAAAAH216qg=")</f>
        <v>#REF!</v>
      </c>
      <c r="FN15" t="e">
        <f>AND('Listado General'!#REF!,"AAAAAH216qk=")</f>
        <v>#REF!</v>
      </c>
      <c r="FO15" t="e">
        <f>AND('Listado General'!#REF!,"AAAAAH216qo=")</f>
        <v>#REF!</v>
      </c>
      <c r="FP15" t="e">
        <f>IF('Listado General'!#REF!,"AAAAAH216qs=",0)</f>
        <v>#REF!</v>
      </c>
      <c r="FQ15" t="e">
        <f>AND('Listado General'!#REF!,"AAAAAH216qw=")</f>
        <v>#REF!</v>
      </c>
      <c r="FR15" t="e">
        <f>AND('Listado General'!#REF!,"AAAAAH216q0=")</f>
        <v>#REF!</v>
      </c>
      <c r="FS15" t="e">
        <f>AND('Listado General'!#REF!,"AAAAAH216q4=")</f>
        <v>#REF!</v>
      </c>
      <c r="FT15" t="e">
        <f>AND('Listado General'!#REF!,"AAAAAH216q8=")</f>
        <v>#REF!</v>
      </c>
      <c r="FU15" t="e">
        <f>AND('Listado General'!#REF!,"AAAAAH216rA=")</f>
        <v>#REF!</v>
      </c>
      <c r="FV15" t="e">
        <f>AND('Listado General'!#REF!,"AAAAAH216rE=")</f>
        <v>#REF!</v>
      </c>
      <c r="FW15" t="e">
        <f>AND('Listado General'!#REF!,"AAAAAH216rI=")</f>
        <v>#REF!</v>
      </c>
      <c r="FX15" t="e">
        <f>AND('Listado General'!#REF!,"AAAAAH216rM=")</f>
        <v>#REF!</v>
      </c>
      <c r="FY15" t="e">
        <f>AND('Listado General'!#REF!,"AAAAAH216rQ=")</f>
        <v>#REF!</v>
      </c>
      <c r="FZ15" t="e">
        <f>IF('Listado General'!#REF!,"AAAAAH216rU=",0)</f>
        <v>#REF!</v>
      </c>
      <c r="GA15" t="e">
        <f>AND('Listado General'!#REF!,"AAAAAH216rY=")</f>
        <v>#REF!</v>
      </c>
      <c r="GB15" t="e">
        <f>AND('Listado General'!#REF!,"AAAAAH216rc=")</f>
        <v>#REF!</v>
      </c>
      <c r="GC15" t="e">
        <f>AND('Listado General'!#REF!,"AAAAAH216rg=")</f>
        <v>#REF!</v>
      </c>
      <c r="GD15" t="e">
        <f>AND('Listado General'!#REF!,"AAAAAH216rk=")</f>
        <v>#REF!</v>
      </c>
      <c r="GE15" t="e">
        <f>AND('Listado General'!#REF!,"AAAAAH216ro=")</f>
        <v>#REF!</v>
      </c>
      <c r="GF15" t="e">
        <f>AND('Listado General'!#REF!,"AAAAAH216rs=")</f>
        <v>#REF!</v>
      </c>
      <c r="GG15" t="e">
        <f>AND('Listado General'!#REF!,"AAAAAH216rw=")</f>
        <v>#REF!</v>
      </c>
      <c r="GH15" t="e">
        <f>AND('Listado General'!#REF!,"AAAAAH216r0=")</f>
        <v>#REF!</v>
      </c>
      <c r="GI15" t="e">
        <f>AND('Listado General'!#REF!,"AAAAAH216r4=")</f>
        <v>#REF!</v>
      </c>
      <c r="GJ15" t="e">
        <f>IF('Listado General'!#REF!,"AAAAAH216r8=",0)</f>
        <v>#REF!</v>
      </c>
      <c r="GK15" t="e">
        <f>AND('Listado General'!#REF!,"AAAAAH216sA=")</f>
        <v>#REF!</v>
      </c>
      <c r="GL15" t="e">
        <f>AND('Listado General'!#REF!,"AAAAAH216sE=")</f>
        <v>#REF!</v>
      </c>
      <c r="GM15" t="e">
        <f>AND('Listado General'!#REF!,"AAAAAH216sI=")</f>
        <v>#REF!</v>
      </c>
      <c r="GN15" t="e">
        <f>AND('Listado General'!#REF!,"AAAAAH216sM=")</f>
        <v>#REF!</v>
      </c>
      <c r="GO15" t="e">
        <f>AND('Listado General'!#REF!,"AAAAAH216sQ=")</f>
        <v>#REF!</v>
      </c>
      <c r="GP15" t="e">
        <f>AND('Listado General'!#REF!,"AAAAAH216sU=")</f>
        <v>#REF!</v>
      </c>
      <c r="GQ15" t="e">
        <f>AND('Listado General'!#REF!,"AAAAAH216sY=")</f>
        <v>#REF!</v>
      </c>
      <c r="GR15" t="e">
        <f>AND('Listado General'!#REF!,"AAAAAH216sc=")</f>
        <v>#REF!</v>
      </c>
      <c r="GS15" t="e">
        <f>AND('Listado General'!#REF!,"AAAAAH216sg=")</f>
        <v>#REF!</v>
      </c>
      <c r="GT15" t="e">
        <f>IF('Listado General'!#REF!,"AAAAAH216sk=",0)</f>
        <v>#REF!</v>
      </c>
      <c r="GU15" t="e">
        <f>AND('Listado General'!#REF!,"AAAAAH216so=")</f>
        <v>#REF!</v>
      </c>
      <c r="GV15" t="e">
        <f>AND('Listado General'!#REF!,"AAAAAH216ss=")</f>
        <v>#REF!</v>
      </c>
      <c r="GW15" t="e">
        <f>AND('Listado General'!#REF!,"AAAAAH216sw=")</f>
        <v>#REF!</v>
      </c>
      <c r="GX15" t="e">
        <f>AND('Listado General'!#REF!,"AAAAAH216s0=")</f>
        <v>#REF!</v>
      </c>
      <c r="GY15" t="e">
        <f>AND('Listado General'!#REF!,"AAAAAH216s4=")</f>
        <v>#REF!</v>
      </c>
      <c r="GZ15" t="e">
        <f>AND('Listado General'!#REF!,"AAAAAH216s8=")</f>
        <v>#REF!</v>
      </c>
      <c r="HA15" t="e">
        <f>AND('Listado General'!#REF!,"AAAAAH216tA=")</f>
        <v>#REF!</v>
      </c>
      <c r="HB15" t="e">
        <f>AND('Listado General'!#REF!,"AAAAAH216tE=")</f>
        <v>#REF!</v>
      </c>
      <c r="HC15" t="e">
        <f>AND('Listado General'!#REF!,"AAAAAH216tI=")</f>
        <v>#REF!</v>
      </c>
      <c r="HD15" t="e">
        <f>IF('Listado General'!#REF!,"AAAAAH216tM=",0)</f>
        <v>#REF!</v>
      </c>
      <c r="HE15" t="e">
        <f>AND('Listado General'!#REF!,"AAAAAH216tQ=")</f>
        <v>#REF!</v>
      </c>
      <c r="HF15" t="e">
        <f>AND('Listado General'!#REF!,"AAAAAH216tU=")</f>
        <v>#REF!</v>
      </c>
      <c r="HG15" t="e">
        <f>AND('Listado General'!#REF!,"AAAAAH216tY=")</f>
        <v>#REF!</v>
      </c>
      <c r="HH15" t="e">
        <f>AND('Listado General'!#REF!,"AAAAAH216tc=")</f>
        <v>#REF!</v>
      </c>
      <c r="HI15" t="e">
        <f>AND('Listado General'!#REF!,"AAAAAH216tg=")</f>
        <v>#REF!</v>
      </c>
      <c r="HJ15" t="e">
        <f>AND('Listado General'!#REF!,"AAAAAH216tk=")</f>
        <v>#REF!</v>
      </c>
      <c r="HK15" t="e">
        <f>AND('Listado General'!#REF!,"AAAAAH216to=")</f>
        <v>#REF!</v>
      </c>
      <c r="HL15" t="e">
        <f>AND('Listado General'!#REF!,"AAAAAH216ts=")</f>
        <v>#REF!</v>
      </c>
      <c r="HM15" t="e">
        <f>AND('Listado General'!#REF!,"AAAAAH216tw=")</f>
        <v>#REF!</v>
      </c>
      <c r="HN15" t="e">
        <f>IF('Listado General'!#REF!,"AAAAAH216t0=",0)</f>
        <v>#REF!</v>
      </c>
      <c r="HO15" t="e">
        <f>AND('Listado General'!#REF!,"AAAAAH216t4=")</f>
        <v>#REF!</v>
      </c>
      <c r="HP15" t="e">
        <f>AND('Listado General'!#REF!,"AAAAAH216t8=")</f>
        <v>#REF!</v>
      </c>
      <c r="HQ15" t="e">
        <f>AND('Listado General'!#REF!,"AAAAAH216uA=")</f>
        <v>#REF!</v>
      </c>
      <c r="HR15" t="e">
        <f>AND('Listado General'!#REF!,"AAAAAH216uE=")</f>
        <v>#REF!</v>
      </c>
      <c r="HS15" t="e">
        <f>AND('Listado General'!#REF!,"AAAAAH216uI=")</f>
        <v>#REF!</v>
      </c>
      <c r="HT15" t="e">
        <f>AND('Listado General'!#REF!,"AAAAAH216uM=")</f>
        <v>#REF!</v>
      </c>
      <c r="HU15" t="e">
        <f>AND('Listado General'!#REF!,"AAAAAH216uQ=")</f>
        <v>#REF!</v>
      </c>
      <c r="HV15" t="e">
        <f>AND('Listado General'!#REF!,"AAAAAH216uU=")</f>
        <v>#REF!</v>
      </c>
      <c r="HW15" t="e">
        <f>AND('Listado General'!#REF!,"AAAAAH216uY=")</f>
        <v>#REF!</v>
      </c>
      <c r="HX15" t="e">
        <f>IF('Listado General'!#REF!,"AAAAAH216uc=",0)</f>
        <v>#REF!</v>
      </c>
      <c r="HY15" t="e">
        <f>AND('Listado General'!#REF!,"AAAAAH216ug=")</f>
        <v>#REF!</v>
      </c>
      <c r="HZ15" t="e">
        <f>AND('Listado General'!#REF!,"AAAAAH216uk=")</f>
        <v>#REF!</v>
      </c>
      <c r="IA15" t="e">
        <f>AND('Listado General'!#REF!,"AAAAAH216uo=")</f>
        <v>#REF!</v>
      </c>
      <c r="IB15" t="e">
        <f>AND('Listado General'!#REF!,"AAAAAH216us=")</f>
        <v>#REF!</v>
      </c>
      <c r="IC15" t="e">
        <f>AND('Listado General'!#REF!,"AAAAAH216uw=")</f>
        <v>#REF!</v>
      </c>
      <c r="ID15" t="e">
        <f>AND('Listado General'!#REF!,"AAAAAH216u0=")</f>
        <v>#REF!</v>
      </c>
      <c r="IE15" t="e">
        <f>AND('Listado General'!#REF!,"AAAAAH216u4=")</f>
        <v>#REF!</v>
      </c>
      <c r="IF15" t="e">
        <f>AND('Listado General'!#REF!,"AAAAAH216u8=")</f>
        <v>#REF!</v>
      </c>
      <c r="IG15" t="e">
        <f>AND('Listado General'!#REF!,"AAAAAH216vA=")</f>
        <v>#REF!</v>
      </c>
      <c r="IH15" t="e">
        <f>IF('Listado General'!#REF!,"AAAAAH216vE=",0)</f>
        <v>#REF!</v>
      </c>
      <c r="II15" t="e">
        <f>AND('Listado General'!#REF!,"AAAAAH216vI=")</f>
        <v>#REF!</v>
      </c>
      <c r="IJ15" t="e">
        <f>AND('Listado General'!#REF!,"AAAAAH216vM=")</f>
        <v>#REF!</v>
      </c>
      <c r="IK15" t="e">
        <f>AND('Listado General'!#REF!,"AAAAAH216vQ=")</f>
        <v>#REF!</v>
      </c>
      <c r="IL15" t="e">
        <f>AND('Listado General'!#REF!,"AAAAAH216vU=")</f>
        <v>#REF!</v>
      </c>
      <c r="IM15" t="e">
        <f>AND('Listado General'!#REF!,"AAAAAH216vY=")</f>
        <v>#REF!</v>
      </c>
      <c r="IN15" t="e">
        <f>AND('Listado General'!#REF!,"AAAAAH216vc=")</f>
        <v>#REF!</v>
      </c>
      <c r="IO15" t="e">
        <f>AND('Listado General'!#REF!,"AAAAAH216vg=")</f>
        <v>#REF!</v>
      </c>
      <c r="IP15" t="e">
        <f>AND('Listado General'!#REF!,"AAAAAH216vk=")</f>
        <v>#REF!</v>
      </c>
      <c r="IQ15" t="e">
        <f>AND('Listado General'!#REF!,"AAAAAH216vo=")</f>
        <v>#REF!</v>
      </c>
      <c r="IR15" t="e">
        <f>IF('Listado General'!#REF!,"AAAAAH216vs=",0)</f>
        <v>#REF!</v>
      </c>
      <c r="IS15" t="e">
        <f>AND('Listado General'!#REF!,"AAAAAH216vw=")</f>
        <v>#REF!</v>
      </c>
      <c r="IT15" t="e">
        <f>AND('Listado General'!#REF!,"AAAAAH216v0=")</f>
        <v>#REF!</v>
      </c>
      <c r="IU15" t="e">
        <f>AND('Listado General'!#REF!,"AAAAAH216v4=")</f>
        <v>#REF!</v>
      </c>
      <c r="IV15" t="e">
        <f>AND('Listado General'!#REF!,"AAAAAH216v8=")</f>
        <v>#REF!</v>
      </c>
    </row>
    <row r="16" spans="1:256" ht="12.75">
      <c r="A16" t="e">
        <f>AND('Listado General'!#REF!,"AAAAAB/NzwA=")</f>
        <v>#REF!</v>
      </c>
      <c r="B16" t="e">
        <f>AND('Listado General'!#REF!,"AAAAAB/NzwE=")</f>
        <v>#REF!</v>
      </c>
      <c r="C16" t="e">
        <f>AND('Listado General'!#REF!,"AAAAAB/NzwI=")</f>
        <v>#REF!</v>
      </c>
      <c r="D16" t="e">
        <f>AND('Listado General'!#REF!,"AAAAAB/NzwM=")</f>
        <v>#REF!</v>
      </c>
      <c r="E16" t="e">
        <f>AND('Listado General'!#REF!,"AAAAAB/NzwQ=")</f>
        <v>#REF!</v>
      </c>
      <c r="F16" t="e">
        <f>IF('Listado General'!#REF!,"AAAAAB/NzwU=",0)</f>
        <v>#REF!</v>
      </c>
      <c r="G16" t="e">
        <f>AND('Listado General'!#REF!,"AAAAAB/NzwY=")</f>
        <v>#REF!</v>
      </c>
      <c r="H16" t="e">
        <f>AND('Listado General'!#REF!,"AAAAAB/Nzwc=")</f>
        <v>#REF!</v>
      </c>
      <c r="I16" t="e">
        <f>AND('Listado General'!#REF!,"AAAAAB/Nzwg=")</f>
        <v>#REF!</v>
      </c>
      <c r="J16" t="e">
        <f>AND('Listado General'!#REF!,"AAAAAB/Nzwk=")</f>
        <v>#REF!</v>
      </c>
      <c r="K16" t="e">
        <f>AND('Listado General'!#REF!,"AAAAAB/Nzwo=")</f>
        <v>#REF!</v>
      </c>
      <c r="L16" t="e">
        <f>AND('Listado General'!#REF!,"AAAAAB/Nzws=")</f>
        <v>#REF!</v>
      </c>
      <c r="M16" t="e">
        <f>AND('Listado General'!#REF!,"AAAAAB/Nzww=")</f>
        <v>#REF!</v>
      </c>
      <c r="N16" t="e">
        <f>AND('Listado General'!#REF!,"AAAAAB/Nzw0=")</f>
        <v>#REF!</v>
      </c>
      <c r="O16" t="e">
        <f>AND('Listado General'!#REF!,"AAAAAB/Nzw4=")</f>
        <v>#REF!</v>
      </c>
      <c r="P16" t="e">
        <f>IF('Listado General'!#REF!,"AAAAAB/Nzw8=",0)</f>
        <v>#REF!</v>
      </c>
      <c r="Q16" t="e">
        <f>AND('Listado General'!#REF!,"AAAAAB/NzxA=")</f>
        <v>#REF!</v>
      </c>
      <c r="R16" t="e">
        <f>AND('Listado General'!#REF!,"AAAAAB/NzxE=")</f>
        <v>#REF!</v>
      </c>
      <c r="S16" t="e">
        <f>AND('Listado General'!#REF!,"AAAAAB/NzxI=")</f>
        <v>#REF!</v>
      </c>
      <c r="T16" t="e">
        <f>AND('Listado General'!#REF!,"AAAAAB/NzxM=")</f>
        <v>#REF!</v>
      </c>
      <c r="U16" t="e">
        <f>AND('Listado General'!#REF!,"AAAAAB/NzxQ=")</f>
        <v>#REF!</v>
      </c>
      <c r="V16" t="e">
        <f>AND('Listado General'!#REF!,"AAAAAB/NzxU=")</f>
        <v>#REF!</v>
      </c>
      <c r="W16" t="e">
        <f>AND('Listado General'!#REF!,"AAAAAB/NzxY=")</f>
        <v>#REF!</v>
      </c>
      <c r="X16" t="e">
        <f>AND('Listado General'!#REF!,"AAAAAB/Nzxc=")</f>
        <v>#REF!</v>
      </c>
      <c r="Y16" t="e">
        <f>AND('Listado General'!#REF!,"AAAAAB/Nzxg=")</f>
        <v>#REF!</v>
      </c>
      <c r="Z16" t="e">
        <f>IF('Listado General'!#REF!,"AAAAAB/Nzxk=",0)</f>
        <v>#REF!</v>
      </c>
      <c r="AA16" t="e">
        <f>AND('Listado General'!#REF!,"AAAAAB/Nzxo=")</f>
        <v>#REF!</v>
      </c>
      <c r="AB16" t="e">
        <f>AND('Listado General'!#REF!,"AAAAAB/Nzxs=")</f>
        <v>#REF!</v>
      </c>
      <c r="AC16" t="e">
        <f>AND('Listado General'!#REF!,"AAAAAB/Nzxw=")</f>
        <v>#REF!</v>
      </c>
      <c r="AD16" t="e">
        <f>AND('Listado General'!#REF!,"AAAAAB/Nzx0=")</f>
        <v>#REF!</v>
      </c>
      <c r="AE16" t="e">
        <f>AND('Listado General'!#REF!,"AAAAAB/Nzx4=")</f>
        <v>#REF!</v>
      </c>
      <c r="AF16" t="e">
        <f>AND('Listado General'!#REF!,"AAAAAB/Nzx8=")</f>
        <v>#REF!</v>
      </c>
      <c r="AG16" t="e">
        <f>AND('Listado General'!#REF!,"AAAAAB/NzyA=")</f>
        <v>#REF!</v>
      </c>
      <c r="AH16" t="e">
        <f>AND('Listado General'!#REF!,"AAAAAB/NzyE=")</f>
        <v>#REF!</v>
      </c>
      <c r="AI16" t="e">
        <f>AND('Listado General'!#REF!,"AAAAAB/NzyI=")</f>
        <v>#REF!</v>
      </c>
      <c r="AJ16" t="e">
        <f>IF('Listado General'!#REF!,"AAAAAB/NzyM=",0)</f>
        <v>#REF!</v>
      </c>
      <c r="AK16" t="e">
        <f>AND('Listado General'!#REF!,"AAAAAB/NzyQ=")</f>
        <v>#REF!</v>
      </c>
      <c r="AL16" t="e">
        <f>AND('Listado General'!#REF!,"AAAAAB/NzyU=")</f>
        <v>#REF!</v>
      </c>
      <c r="AM16" t="e">
        <f>AND('Listado General'!#REF!,"AAAAAB/NzyY=")</f>
        <v>#REF!</v>
      </c>
      <c r="AN16" t="e">
        <f>AND('Listado General'!#REF!,"AAAAAB/Nzyc=")</f>
        <v>#REF!</v>
      </c>
      <c r="AO16" t="e">
        <f>AND('Listado General'!#REF!,"AAAAAB/Nzyg=")</f>
        <v>#REF!</v>
      </c>
      <c r="AP16" t="e">
        <f>AND('Listado General'!#REF!,"AAAAAB/Nzyk=")</f>
        <v>#REF!</v>
      </c>
      <c r="AQ16" t="e">
        <f>AND('Listado General'!#REF!,"AAAAAB/Nzyo=")</f>
        <v>#REF!</v>
      </c>
      <c r="AR16" t="e">
        <f>AND('Listado General'!#REF!,"AAAAAB/Nzys=")</f>
        <v>#REF!</v>
      </c>
      <c r="AS16" t="e">
        <f>AND('Listado General'!#REF!,"AAAAAB/Nzyw=")</f>
        <v>#REF!</v>
      </c>
      <c r="AT16" t="e">
        <f>IF('Listado General'!#REF!,"AAAAAB/Nzy0=",0)</f>
        <v>#REF!</v>
      </c>
      <c r="AU16" t="e">
        <f>AND('Listado General'!#REF!,"AAAAAB/Nzy4=")</f>
        <v>#REF!</v>
      </c>
      <c r="AV16" t="e">
        <f>AND('Listado General'!#REF!,"AAAAAB/Nzy8=")</f>
        <v>#REF!</v>
      </c>
      <c r="AW16" t="e">
        <f>AND('Listado General'!#REF!,"AAAAAB/NzzA=")</f>
        <v>#REF!</v>
      </c>
      <c r="AX16" t="e">
        <f>AND('Listado General'!#REF!,"AAAAAB/NzzE=")</f>
        <v>#REF!</v>
      </c>
      <c r="AY16" t="e">
        <f>AND('Listado General'!#REF!,"AAAAAB/NzzI=")</f>
        <v>#REF!</v>
      </c>
      <c r="AZ16" t="e">
        <f>AND('Listado General'!#REF!,"AAAAAB/NzzM=")</f>
        <v>#REF!</v>
      </c>
      <c r="BA16" t="e">
        <f>AND('Listado General'!#REF!,"AAAAAB/NzzQ=")</f>
        <v>#REF!</v>
      </c>
      <c r="BB16" t="e">
        <f>AND('Listado General'!#REF!,"AAAAAB/NzzU=")</f>
        <v>#REF!</v>
      </c>
      <c r="BC16" t="e">
        <f>AND('Listado General'!#REF!,"AAAAAB/NzzY=")</f>
        <v>#REF!</v>
      </c>
      <c r="BD16" t="e">
        <f>IF('Listado General'!#REF!,"AAAAAB/Nzzc=",0)</f>
        <v>#REF!</v>
      </c>
      <c r="BE16" t="e">
        <f>AND('Listado General'!#REF!,"AAAAAB/Nzzg=")</f>
        <v>#REF!</v>
      </c>
      <c r="BF16" t="e">
        <f>AND('Listado General'!#REF!,"AAAAAB/Nzzk=")</f>
        <v>#REF!</v>
      </c>
      <c r="BG16" t="e">
        <f>AND('Listado General'!#REF!,"AAAAAB/Nzzo=")</f>
        <v>#REF!</v>
      </c>
      <c r="BH16" t="e">
        <f>AND('Listado General'!#REF!,"AAAAAB/Nzzs=")</f>
        <v>#REF!</v>
      </c>
      <c r="BI16" t="e">
        <f>AND('Listado General'!#REF!,"AAAAAB/Nzzw=")</f>
        <v>#REF!</v>
      </c>
      <c r="BJ16" t="e">
        <f>AND('Listado General'!#REF!,"AAAAAB/Nzz0=")</f>
        <v>#REF!</v>
      </c>
      <c r="BK16" t="e">
        <f>AND('Listado General'!#REF!,"AAAAAB/Nzz4=")</f>
        <v>#REF!</v>
      </c>
      <c r="BL16" t="e">
        <f>AND('Listado General'!#REF!,"AAAAAB/Nzz8=")</f>
        <v>#REF!</v>
      </c>
      <c r="BM16" t="e">
        <f>AND('Listado General'!#REF!,"AAAAAB/Nz0A=")</f>
        <v>#REF!</v>
      </c>
      <c r="BN16" t="e">
        <f>IF('Listado General'!#REF!,"AAAAAB/Nz0E=",0)</f>
        <v>#REF!</v>
      </c>
      <c r="BO16" t="e">
        <f>AND('Listado General'!#REF!,"AAAAAB/Nz0I=")</f>
        <v>#REF!</v>
      </c>
      <c r="BP16" t="e">
        <f>AND('Listado General'!#REF!,"AAAAAB/Nz0M=")</f>
        <v>#REF!</v>
      </c>
      <c r="BQ16" t="e">
        <f>AND('Listado General'!#REF!,"AAAAAB/Nz0Q=")</f>
        <v>#REF!</v>
      </c>
      <c r="BR16" t="e">
        <f>AND('Listado General'!#REF!,"AAAAAB/Nz0U=")</f>
        <v>#REF!</v>
      </c>
      <c r="BS16" t="e">
        <f>AND('Listado General'!#REF!,"AAAAAB/Nz0Y=")</f>
        <v>#REF!</v>
      </c>
      <c r="BT16" t="e">
        <f>AND('Listado General'!#REF!,"AAAAAB/Nz0c=")</f>
        <v>#REF!</v>
      </c>
      <c r="BU16" t="e">
        <f>AND('Listado General'!#REF!,"AAAAAB/Nz0g=")</f>
        <v>#REF!</v>
      </c>
      <c r="BV16" t="e">
        <f>AND('Listado General'!#REF!,"AAAAAB/Nz0k=")</f>
        <v>#REF!</v>
      </c>
      <c r="BW16" t="e">
        <f>AND('Listado General'!#REF!,"AAAAAB/Nz0o=")</f>
        <v>#REF!</v>
      </c>
      <c r="BX16" t="e">
        <f>IF('Listado General'!#REF!,"AAAAAB/Nz0s=",0)</f>
        <v>#REF!</v>
      </c>
      <c r="BY16" t="e">
        <f>AND('Listado General'!#REF!,"AAAAAB/Nz0w=")</f>
        <v>#REF!</v>
      </c>
      <c r="BZ16" t="e">
        <f>AND('Listado General'!#REF!,"AAAAAB/Nz00=")</f>
        <v>#REF!</v>
      </c>
      <c r="CA16" t="e">
        <f>AND('Listado General'!#REF!,"AAAAAB/Nz04=")</f>
        <v>#REF!</v>
      </c>
      <c r="CB16" t="e">
        <f>AND('Listado General'!#REF!,"AAAAAB/Nz08=")</f>
        <v>#REF!</v>
      </c>
      <c r="CC16" t="e">
        <f>AND('Listado General'!#REF!,"AAAAAB/Nz1A=")</f>
        <v>#REF!</v>
      </c>
      <c r="CD16" t="e">
        <f>AND('Listado General'!#REF!,"AAAAAB/Nz1E=")</f>
        <v>#REF!</v>
      </c>
      <c r="CE16" t="e">
        <f>AND('Listado General'!#REF!,"AAAAAB/Nz1I=")</f>
        <v>#REF!</v>
      </c>
      <c r="CF16" t="e">
        <f>AND('Listado General'!#REF!,"AAAAAB/Nz1M=")</f>
        <v>#REF!</v>
      </c>
      <c r="CG16" t="e">
        <f>AND('Listado General'!#REF!,"AAAAAB/Nz1Q=")</f>
        <v>#REF!</v>
      </c>
      <c r="CH16" t="e">
        <f>IF('Listado General'!#REF!,"AAAAAB/Nz1U=",0)</f>
        <v>#REF!</v>
      </c>
      <c r="CI16" t="e">
        <f>AND('Listado General'!#REF!,"AAAAAB/Nz1Y=")</f>
        <v>#REF!</v>
      </c>
      <c r="CJ16" t="e">
        <f>AND('Listado General'!#REF!,"AAAAAB/Nz1c=")</f>
        <v>#REF!</v>
      </c>
      <c r="CK16" t="e">
        <f>AND('Listado General'!#REF!,"AAAAAB/Nz1g=")</f>
        <v>#REF!</v>
      </c>
      <c r="CL16" t="e">
        <f>AND('Listado General'!#REF!,"AAAAAB/Nz1k=")</f>
        <v>#REF!</v>
      </c>
      <c r="CM16" t="e">
        <f>AND('Listado General'!#REF!,"AAAAAB/Nz1o=")</f>
        <v>#REF!</v>
      </c>
      <c r="CN16" t="e">
        <f>AND('Listado General'!#REF!,"AAAAAB/Nz1s=")</f>
        <v>#REF!</v>
      </c>
      <c r="CO16" t="e">
        <f>AND('Listado General'!#REF!,"AAAAAB/Nz1w=")</f>
        <v>#REF!</v>
      </c>
      <c r="CP16" t="e">
        <f>AND('Listado General'!#REF!,"AAAAAB/Nz10=")</f>
        <v>#REF!</v>
      </c>
      <c r="CQ16" t="e">
        <f>AND('Listado General'!#REF!,"AAAAAB/Nz14=")</f>
        <v>#REF!</v>
      </c>
      <c r="CR16" t="e">
        <f>IF('Listado General'!#REF!,"AAAAAB/Nz18=",0)</f>
        <v>#REF!</v>
      </c>
      <c r="CS16" t="e">
        <f>AND('Listado General'!#REF!,"AAAAAB/Nz2A=")</f>
        <v>#REF!</v>
      </c>
      <c r="CT16" t="e">
        <f>AND('Listado General'!#REF!,"AAAAAB/Nz2E=")</f>
        <v>#REF!</v>
      </c>
      <c r="CU16" t="e">
        <f>AND('Listado General'!#REF!,"AAAAAB/Nz2I=")</f>
        <v>#REF!</v>
      </c>
      <c r="CV16" t="e">
        <f>AND('Listado General'!#REF!,"AAAAAB/Nz2M=")</f>
        <v>#REF!</v>
      </c>
      <c r="CW16" t="e">
        <f>AND('Listado General'!#REF!,"AAAAAB/Nz2Q=")</f>
        <v>#REF!</v>
      </c>
      <c r="CX16" t="e">
        <f>AND('Listado General'!#REF!,"AAAAAB/Nz2U=")</f>
        <v>#REF!</v>
      </c>
      <c r="CY16" t="e">
        <f>AND('Listado General'!#REF!,"AAAAAB/Nz2Y=")</f>
        <v>#REF!</v>
      </c>
      <c r="CZ16" t="e">
        <f>AND('Listado General'!#REF!,"AAAAAB/Nz2c=")</f>
        <v>#REF!</v>
      </c>
      <c r="DA16" t="e">
        <f>AND('Listado General'!#REF!,"AAAAAB/Nz2g=")</f>
        <v>#REF!</v>
      </c>
      <c r="DB16" t="e">
        <f>IF('Listado General'!#REF!,"AAAAAB/Nz2k=",0)</f>
        <v>#REF!</v>
      </c>
      <c r="DC16" t="e">
        <f>AND('Listado General'!#REF!,"AAAAAB/Nz2o=")</f>
        <v>#REF!</v>
      </c>
      <c r="DD16" t="e">
        <f>AND('Listado General'!#REF!,"AAAAAB/Nz2s=")</f>
        <v>#REF!</v>
      </c>
      <c r="DE16" t="e">
        <f>AND('Listado General'!#REF!,"AAAAAB/Nz2w=")</f>
        <v>#REF!</v>
      </c>
      <c r="DF16" t="e">
        <f>AND('Listado General'!#REF!,"AAAAAB/Nz20=")</f>
        <v>#REF!</v>
      </c>
      <c r="DG16" t="e">
        <f>AND('Listado General'!#REF!,"AAAAAB/Nz24=")</f>
        <v>#REF!</v>
      </c>
      <c r="DH16" t="e">
        <f>AND('Listado General'!#REF!,"AAAAAB/Nz28=")</f>
        <v>#REF!</v>
      </c>
      <c r="DI16" t="e">
        <f>AND('Listado General'!#REF!,"AAAAAB/Nz3A=")</f>
        <v>#REF!</v>
      </c>
      <c r="DJ16" t="e">
        <f>AND('Listado General'!#REF!,"AAAAAB/Nz3E=")</f>
        <v>#REF!</v>
      </c>
      <c r="DK16" t="e">
        <f>AND('Listado General'!#REF!,"AAAAAB/Nz3I=")</f>
        <v>#REF!</v>
      </c>
      <c r="DL16" t="e">
        <f>IF('Listado General'!#REF!,"AAAAAB/Nz3M=",0)</f>
        <v>#REF!</v>
      </c>
      <c r="DM16" t="e">
        <f>AND('Listado General'!#REF!,"AAAAAB/Nz3Q=")</f>
        <v>#REF!</v>
      </c>
      <c r="DN16" t="e">
        <f>AND('Listado General'!#REF!,"AAAAAB/Nz3U=")</f>
        <v>#REF!</v>
      </c>
      <c r="DO16" t="e">
        <f>AND('Listado General'!#REF!,"AAAAAB/Nz3Y=")</f>
        <v>#REF!</v>
      </c>
      <c r="DP16" t="e">
        <f>AND('Listado General'!#REF!,"AAAAAB/Nz3c=")</f>
        <v>#REF!</v>
      </c>
      <c r="DQ16" t="e">
        <f>AND('Listado General'!#REF!,"AAAAAB/Nz3g=")</f>
        <v>#REF!</v>
      </c>
      <c r="DR16" t="e">
        <f>AND('Listado General'!#REF!,"AAAAAB/Nz3k=")</f>
        <v>#REF!</v>
      </c>
      <c r="DS16" t="e">
        <f>AND('Listado General'!#REF!,"AAAAAB/Nz3o=")</f>
        <v>#REF!</v>
      </c>
      <c r="DT16" t="e">
        <f>AND('Listado General'!#REF!,"AAAAAB/Nz3s=")</f>
        <v>#REF!</v>
      </c>
      <c r="DU16" t="e">
        <f>AND('Listado General'!#REF!,"AAAAAB/Nz3w=")</f>
        <v>#REF!</v>
      </c>
      <c r="DV16" t="e">
        <f>IF('Listado General'!#REF!,"AAAAAB/Nz30=",0)</f>
        <v>#REF!</v>
      </c>
      <c r="DW16" t="e">
        <f>AND('Listado General'!#REF!,"AAAAAB/Nz34=")</f>
        <v>#REF!</v>
      </c>
      <c r="DX16" t="e">
        <f>AND('Listado General'!#REF!,"AAAAAB/Nz38=")</f>
        <v>#REF!</v>
      </c>
      <c r="DY16" t="e">
        <f>AND('Listado General'!#REF!,"AAAAAB/Nz4A=")</f>
        <v>#REF!</v>
      </c>
      <c r="DZ16" t="e">
        <f>AND('Listado General'!#REF!,"AAAAAB/Nz4E=")</f>
        <v>#REF!</v>
      </c>
      <c r="EA16" t="e">
        <f>AND('Listado General'!#REF!,"AAAAAB/Nz4I=")</f>
        <v>#REF!</v>
      </c>
      <c r="EB16" t="e">
        <f>AND('Listado General'!#REF!,"AAAAAB/Nz4M=")</f>
        <v>#REF!</v>
      </c>
      <c r="EC16" t="e">
        <f>AND('Listado General'!#REF!,"AAAAAB/Nz4Q=")</f>
        <v>#REF!</v>
      </c>
      <c r="ED16" t="e">
        <f>AND('Listado General'!#REF!,"AAAAAB/Nz4U=")</f>
        <v>#REF!</v>
      </c>
      <c r="EE16" t="e">
        <f>AND('Listado General'!#REF!,"AAAAAB/Nz4Y=")</f>
        <v>#REF!</v>
      </c>
      <c r="EF16" t="e">
        <f>IF('Listado General'!#REF!,"AAAAAB/Nz4c=",0)</f>
        <v>#REF!</v>
      </c>
      <c r="EG16" t="e">
        <f>AND('Listado General'!#REF!,"AAAAAB/Nz4g=")</f>
        <v>#REF!</v>
      </c>
      <c r="EH16" t="e">
        <f>AND('Listado General'!#REF!,"AAAAAB/Nz4k=")</f>
        <v>#REF!</v>
      </c>
      <c r="EI16" t="e">
        <f>AND('Listado General'!#REF!,"AAAAAB/Nz4o=")</f>
        <v>#REF!</v>
      </c>
      <c r="EJ16" t="e">
        <f>AND('Listado General'!#REF!,"AAAAAB/Nz4s=")</f>
        <v>#REF!</v>
      </c>
      <c r="EK16" t="e">
        <f>AND('Listado General'!#REF!,"AAAAAB/Nz4w=")</f>
        <v>#REF!</v>
      </c>
      <c r="EL16" t="e">
        <f>AND('Listado General'!#REF!,"AAAAAB/Nz40=")</f>
        <v>#REF!</v>
      </c>
      <c r="EM16" t="e">
        <f>AND('Listado General'!#REF!,"AAAAAB/Nz44=")</f>
        <v>#REF!</v>
      </c>
      <c r="EN16" t="e">
        <f>AND('Listado General'!#REF!,"AAAAAB/Nz48=")</f>
        <v>#REF!</v>
      </c>
      <c r="EO16" t="e">
        <f>AND('Listado General'!#REF!,"AAAAAB/Nz5A=")</f>
        <v>#REF!</v>
      </c>
      <c r="EP16" t="e">
        <f>IF('Listado General'!#REF!,"AAAAAB/Nz5E=",0)</f>
        <v>#REF!</v>
      </c>
      <c r="EQ16" t="e">
        <f>AND('Listado General'!#REF!,"AAAAAB/Nz5I=")</f>
        <v>#REF!</v>
      </c>
      <c r="ER16" t="e">
        <f>AND('Listado General'!#REF!,"AAAAAB/Nz5M=")</f>
        <v>#REF!</v>
      </c>
      <c r="ES16" t="e">
        <f>AND('Listado General'!#REF!,"AAAAAB/Nz5Q=")</f>
        <v>#REF!</v>
      </c>
      <c r="ET16" t="e">
        <f>AND('Listado General'!#REF!,"AAAAAB/Nz5U=")</f>
        <v>#REF!</v>
      </c>
      <c r="EU16" t="e">
        <f>AND('Listado General'!#REF!,"AAAAAB/Nz5Y=")</f>
        <v>#REF!</v>
      </c>
      <c r="EV16" t="e">
        <f>AND('Listado General'!#REF!,"AAAAAB/Nz5c=")</f>
        <v>#REF!</v>
      </c>
      <c r="EW16" t="e">
        <f>AND('Listado General'!#REF!,"AAAAAB/Nz5g=")</f>
        <v>#REF!</v>
      </c>
      <c r="EX16" t="e">
        <f>AND('Listado General'!#REF!,"AAAAAB/Nz5k=")</f>
        <v>#REF!</v>
      </c>
      <c r="EY16" t="e">
        <f>AND('Listado General'!#REF!,"AAAAAB/Nz5o=")</f>
        <v>#REF!</v>
      </c>
      <c r="EZ16" t="e">
        <f>IF('Listado General'!#REF!,"AAAAAB/Nz5s=",0)</f>
        <v>#REF!</v>
      </c>
      <c r="FA16" t="e">
        <f>AND('Listado General'!#REF!,"AAAAAB/Nz5w=")</f>
        <v>#REF!</v>
      </c>
      <c r="FB16" t="e">
        <f>AND('Listado General'!#REF!,"AAAAAB/Nz50=")</f>
        <v>#REF!</v>
      </c>
      <c r="FC16" t="e">
        <f>AND('Listado General'!#REF!,"AAAAAB/Nz54=")</f>
        <v>#REF!</v>
      </c>
      <c r="FD16" t="e">
        <f>AND('Listado General'!#REF!,"AAAAAB/Nz58=")</f>
        <v>#REF!</v>
      </c>
      <c r="FE16" t="e">
        <f>AND('Listado General'!#REF!,"AAAAAB/Nz6A=")</f>
        <v>#REF!</v>
      </c>
      <c r="FF16" t="e">
        <f>AND('Listado General'!#REF!,"AAAAAB/Nz6E=")</f>
        <v>#REF!</v>
      </c>
      <c r="FG16" t="e">
        <f>AND('Listado General'!#REF!,"AAAAAB/Nz6I=")</f>
        <v>#REF!</v>
      </c>
      <c r="FH16" t="e">
        <f>AND('Listado General'!#REF!,"AAAAAB/Nz6M=")</f>
        <v>#REF!</v>
      </c>
      <c r="FI16" t="e">
        <f>AND('Listado General'!#REF!,"AAAAAB/Nz6Q=")</f>
        <v>#REF!</v>
      </c>
      <c r="FJ16" t="e">
        <f>IF('Listado General'!#REF!,"AAAAAB/Nz6U=",0)</f>
        <v>#REF!</v>
      </c>
      <c r="FK16" t="e">
        <f>AND('Listado General'!#REF!,"AAAAAB/Nz6Y=")</f>
        <v>#REF!</v>
      </c>
      <c r="FL16" t="e">
        <f>AND('Listado General'!#REF!,"AAAAAB/Nz6c=")</f>
        <v>#REF!</v>
      </c>
      <c r="FM16" t="e">
        <f>AND('Listado General'!#REF!,"AAAAAB/Nz6g=")</f>
        <v>#REF!</v>
      </c>
      <c r="FN16" t="e">
        <f>AND('Listado General'!#REF!,"AAAAAB/Nz6k=")</f>
        <v>#REF!</v>
      </c>
      <c r="FO16" t="e">
        <f>AND('Listado General'!#REF!,"AAAAAB/Nz6o=")</f>
        <v>#REF!</v>
      </c>
      <c r="FP16" t="e">
        <f>AND('Listado General'!#REF!,"AAAAAB/Nz6s=")</f>
        <v>#REF!</v>
      </c>
      <c r="FQ16" t="e">
        <f>AND('Listado General'!#REF!,"AAAAAB/Nz6w=")</f>
        <v>#REF!</v>
      </c>
      <c r="FR16" t="e">
        <f>AND('Listado General'!#REF!,"AAAAAB/Nz60=")</f>
        <v>#REF!</v>
      </c>
      <c r="FS16" t="e">
        <f>AND('Listado General'!#REF!,"AAAAAB/Nz64=")</f>
        <v>#REF!</v>
      </c>
      <c r="FT16" t="e">
        <f>IF('Listado General'!#REF!,"AAAAAB/Nz68=",0)</f>
        <v>#REF!</v>
      </c>
      <c r="FU16" t="e">
        <f>AND('Listado General'!#REF!,"AAAAAB/Nz7A=")</f>
        <v>#REF!</v>
      </c>
      <c r="FV16" t="e">
        <f>AND('Listado General'!#REF!,"AAAAAB/Nz7E=")</f>
        <v>#REF!</v>
      </c>
      <c r="FW16" t="e">
        <f>AND('Listado General'!#REF!,"AAAAAB/Nz7I=")</f>
        <v>#REF!</v>
      </c>
      <c r="FX16" t="e">
        <f>AND('Listado General'!#REF!,"AAAAAB/Nz7M=")</f>
        <v>#REF!</v>
      </c>
      <c r="FY16" t="e">
        <f>AND('Listado General'!#REF!,"AAAAAB/Nz7Q=")</f>
        <v>#REF!</v>
      </c>
      <c r="FZ16" t="e">
        <f>AND('Listado General'!#REF!,"AAAAAB/Nz7U=")</f>
        <v>#REF!</v>
      </c>
      <c r="GA16" t="e">
        <f>AND('Listado General'!#REF!,"AAAAAB/Nz7Y=")</f>
        <v>#REF!</v>
      </c>
      <c r="GB16" t="e">
        <f>AND('Listado General'!#REF!,"AAAAAB/Nz7c=")</f>
        <v>#REF!</v>
      </c>
      <c r="GC16" t="e">
        <f>AND('Listado General'!#REF!,"AAAAAB/Nz7g=")</f>
        <v>#REF!</v>
      </c>
      <c r="GD16" t="e">
        <f>IF('Listado General'!#REF!,"AAAAAB/Nz7k=",0)</f>
        <v>#REF!</v>
      </c>
      <c r="GE16" t="e">
        <f>AND('Listado General'!#REF!,"AAAAAB/Nz7o=")</f>
        <v>#REF!</v>
      </c>
      <c r="GF16" t="e">
        <f>AND('Listado General'!#REF!,"AAAAAB/Nz7s=")</f>
        <v>#REF!</v>
      </c>
      <c r="GG16" t="e">
        <f>AND('Listado General'!#REF!,"AAAAAB/Nz7w=")</f>
        <v>#REF!</v>
      </c>
      <c r="GH16" t="e">
        <f>AND('Listado General'!#REF!,"AAAAAB/Nz70=")</f>
        <v>#REF!</v>
      </c>
      <c r="GI16" t="e">
        <f>AND('Listado General'!#REF!,"AAAAAB/Nz74=")</f>
        <v>#REF!</v>
      </c>
      <c r="GJ16" t="e">
        <f>AND('Listado General'!#REF!,"AAAAAB/Nz78=")</f>
        <v>#REF!</v>
      </c>
      <c r="GK16" t="e">
        <f>AND('Listado General'!#REF!,"AAAAAB/Nz8A=")</f>
        <v>#REF!</v>
      </c>
      <c r="GL16" t="e">
        <f>AND('Listado General'!#REF!,"AAAAAB/Nz8E=")</f>
        <v>#REF!</v>
      </c>
      <c r="GM16" t="e">
        <f>AND('Listado General'!#REF!,"AAAAAB/Nz8I=")</f>
        <v>#REF!</v>
      </c>
      <c r="GN16" t="e">
        <f>IF('Listado General'!#REF!,"AAAAAB/Nz8M=",0)</f>
        <v>#REF!</v>
      </c>
      <c r="GO16" t="e">
        <f>AND('Listado General'!#REF!,"AAAAAB/Nz8Q=")</f>
        <v>#REF!</v>
      </c>
      <c r="GP16" t="e">
        <f>AND('Listado General'!#REF!,"AAAAAB/Nz8U=")</f>
        <v>#REF!</v>
      </c>
      <c r="GQ16" t="e">
        <f>AND('Listado General'!#REF!,"AAAAAB/Nz8Y=")</f>
        <v>#REF!</v>
      </c>
      <c r="GR16" t="e">
        <f>AND('Listado General'!#REF!,"AAAAAB/Nz8c=")</f>
        <v>#REF!</v>
      </c>
      <c r="GS16" t="e">
        <f>AND('Listado General'!#REF!,"AAAAAB/Nz8g=")</f>
        <v>#REF!</v>
      </c>
      <c r="GT16" t="e">
        <f>AND('Listado General'!#REF!,"AAAAAB/Nz8k=")</f>
        <v>#REF!</v>
      </c>
      <c r="GU16" t="e">
        <f>AND('Listado General'!#REF!,"AAAAAB/Nz8o=")</f>
        <v>#REF!</v>
      </c>
      <c r="GV16" t="e">
        <f>AND('Listado General'!#REF!,"AAAAAB/Nz8s=")</f>
        <v>#REF!</v>
      </c>
      <c r="GW16" t="e">
        <f>AND('Listado General'!#REF!,"AAAAAB/Nz8w=")</f>
        <v>#REF!</v>
      </c>
      <c r="GX16" t="e">
        <f>IF('Listado General'!#REF!,"AAAAAB/Nz80=",0)</f>
        <v>#REF!</v>
      </c>
      <c r="GY16" t="e">
        <f>AND('Listado General'!#REF!,"AAAAAB/Nz84=")</f>
        <v>#REF!</v>
      </c>
      <c r="GZ16" t="e">
        <f>AND('Listado General'!#REF!,"AAAAAB/Nz88=")</f>
        <v>#REF!</v>
      </c>
      <c r="HA16" t="e">
        <f>AND('Listado General'!#REF!,"AAAAAB/Nz9A=")</f>
        <v>#REF!</v>
      </c>
      <c r="HB16" t="e">
        <f>AND('Listado General'!#REF!,"AAAAAB/Nz9E=")</f>
        <v>#REF!</v>
      </c>
      <c r="HC16" t="e">
        <f>AND('Listado General'!#REF!,"AAAAAB/Nz9I=")</f>
        <v>#REF!</v>
      </c>
      <c r="HD16" t="e">
        <f>AND('Listado General'!#REF!,"AAAAAB/Nz9M=")</f>
        <v>#REF!</v>
      </c>
      <c r="HE16" t="e">
        <f>AND('Listado General'!#REF!,"AAAAAB/Nz9Q=")</f>
        <v>#REF!</v>
      </c>
      <c r="HF16" t="e">
        <f>AND('Listado General'!#REF!,"AAAAAB/Nz9U=")</f>
        <v>#REF!</v>
      </c>
      <c r="HG16" t="e">
        <f>AND('Listado General'!#REF!,"AAAAAB/Nz9Y=")</f>
        <v>#REF!</v>
      </c>
      <c r="HH16" t="e">
        <f>IF('Listado General'!#REF!,"AAAAAB/Nz9c=",0)</f>
        <v>#REF!</v>
      </c>
      <c r="HI16" t="e">
        <f>AND('Listado General'!#REF!,"AAAAAB/Nz9g=")</f>
        <v>#REF!</v>
      </c>
      <c r="HJ16" t="e">
        <f>AND('Listado General'!#REF!,"AAAAAB/Nz9k=")</f>
        <v>#REF!</v>
      </c>
      <c r="HK16" t="e">
        <f>AND('Listado General'!#REF!,"AAAAAB/Nz9o=")</f>
        <v>#REF!</v>
      </c>
      <c r="HL16" t="e">
        <f>AND('Listado General'!#REF!,"AAAAAB/Nz9s=")</f>
        <v>#REF!</v>
      </c>
      <c r="HM16" t="e">
        <f>AND('Listado General'!#REF!,"AAAAAB/Nz9w=")</f>
        <v>#REF!</v>
      </c>
      <c r="HN16" t="e">
        <f>AND('Listado General'!#REF!,"AAAAAB/Nz90=")</f>
        <v>#REF!</v>
      </c>
      <c r="HO16" t="e">
        <f>AND('Listado General'!#REF!,"AAAAAB/Nz94=")</f>
        <v>#REF!</v>
      </c>
      <c r="HP16" t="e">
        <f>AND('Listado General'!#REF!,"AAAAAB/Nz98=")</f>
        <v>#REF!</v>
      </c>
      <c r="HQ16" t="e">
        <f>AND('Listado General'!#REF!,"AAAAAB/Nz+A=")</f>
        <v>#REF!</v>
      </c>
      <c r="HR16" t="e">
        <f>IF('Listado General'!#REF!,"AAAAAB/Nz+E=",0)</f>
        <v>#REF!</v>
      </c>
      <c r="HS16" t="e">
        <f>AND('Listado General'!#REF!,"AAAAAB/Nz+I=")</f>
        <v>#REF!</v>
      </c>
      <c r="HT16" t="e">
        <f>AND('Listado General'!#REF!,"AAAAAB/Nz+M=")</f>
        <v>#REF!</v>
      </c>
      <c r="HU16" t="e">
        <f>AND('Listado General'!#REF!,"AAAAAB/Nz+Q=")</f>
        <v>#REF!</v>
      </c>
      <c r="HV16" t="e">
        <f>AND('Listado General'!#REF!,"AAAAAB/Nz+U=")</f>
        <v>#REF!</v>
      </c>
      <c r="HW16" t="e">
        <f>AND('Listado General'!#REF!,"AAAAAB/Nz+Y=")</f>
        <v>#REF!</v>
      </c>
      <c r="HX16" t="e">
        <f>AND('Listado General'!#REF!,"AAAAAB/Nz+c=")</f>
        <v>#REF!</v>
      </c>
      <c r="HY16" t="e">
        <f>AND('Listado General'!#REF!,"AAAAAB/Nz+g=")</f>
        <v>#REF!</v>
      </c>
      <c r="HZ16" t="e">
        <f>AND('Listado General'!#REF!,"AAAAAB/Nz+k=")</f>
        <v>#REF!</v>
      </c>
      <c r="IA16" t="e">
        <f>AND('Listado General'!#REF!,"AAAAAB/Nz+o=")</f>
        <v>#REF!</v>
      </c>
      <c r="IB16" t="e">
        <f>IF('Listado General'!#REF!,"AAAAAB/Nz+s=",0)</f>
        <v>#REF!</v>
      </c>
      <c r="IC16" t="e">
        <f>AND('Listado General'!#REF!,"AAAAAB/Nz+w=")</f>
        <v>#REF!</v>
      </c>
      <c r="ID16" t="e">
        <f>AND('Listado General'!#REF!,"AAAAAB/Nz+0=")</f>
        <v>#REF!</v>
      </c>
      <c r="IE16" t="e">
        <f>AND('Listado General'!#REF!,"AAAAAB/Nz+4=")</f>
        <v>#REF!</v>
      </c>
      <c r="IF16" t="e">
        <f>AND('Listado General'!#REF!,"AAAAAB/Nz+8=")</f>
        <v>#REF!</v>
      </c>
      <c r="IG16" t="e">
        <f>AND('Listado General'!#REF!,"AAAAAB/Nz/A=")</f>
        <v>#REF!</v>
      </c>
      <c r="IH16" t="e">
        <f>AND('Listado General'!#REF!,"AAAAAB/Nz/E=")</f>
        <v>#REF!</v>
      </c>
      <c r="II16" t="e">
        <f>AND('Listado General'!#REF!,"AAAAAB/Nz/I=")</f>
        <v>#REF!</v>
      </c>
      <c r="IJ16" t="e">
        <f>AND('Listado General'!#REF!,"AAAAAB/Nz/M=")</f>
        <v>#REF!</v>
      </c>
      <c r="IK16" t="e">
        <f>AND('Listado General'!#REF!,"AAAAAB/Nz/Q=")</f>
        <v>#REF!</v>
      </c>
      <c r="IL16" t="e">
        <f>IF('Listado General'!#REF!,"AAAAAB/Nz/U=",0)</f>
        <v>#REF!</v>
      </c>
      <c r="IM16" t="e">
        <f>AND('Listado General'!#REF!,"AAAAAB/Nz/Y=")</f>
        <v>#REF!</v>
      </c>
      <c r="IN16" t="e">
        <f>AND('Listado General'!#REF!,"AAAAAB/Nz/c=")</f>
        <v>#REF!</v>
      </c>
      <c r="IO16" t="e">
        <f>AND('Listado General'!#REF!,"AAAAAB/Nz/g=")</f>
        <v>#REF!</v>
      </c>
      <c r="IP16" t="e">
        <f>AND('Listado General'!#REF!,"AAAAAB/Nz/k=")</f>
        <v>#REF!</v>
      </c>
      <c r="IQ16" t="e">
        <f>AND('Listado General'!#REF!,"AAAAAB/Nz/o=")</f>
        <v>#REF!</v>
      </c>
      <c r="IR16" t="e">
        <f>AND('Listado General'!#REF!,"AAAAAB/Nz/s=")</f>
        <v>#REF!</v>
      </c>
      <c r="IS16" t="e">
        <f>AND('Listado General'!#REF!,"AAAAAB/Nz/w=")</f>
        <v>#REF!</v>
      </c>
      <c r="IT16" t="e">
        <f>AND('Listado General'!#REF!,"AAAAAB/Nz/0=")</f>
        <v>#REF!</v>
      </c>
      <c r="IU16" t="e">
        <f>AND('Listado General'!#REF!,"AAAAAB/Nz/4=")</f>
        <v>#REF!</v>
      </c>
      <c r="IV16" t="e">
        <f>IF('Listado General'!#REF!,"AAAAAB/Nz/8=",0)</f>
        <v>#REF!</v>
      </c>
    </row>
    <row r="17" spans="1:256" ht="12.75">
      <c r="A17" t="e">
        <f>AND('Listado General'!#REF!,"AAAAAD2SvwA=")</f>
        <v>#REF!</v>
      </c>
      <c r="B17" t="e">
        <f>AND('Listado General'!#REF!,"AAAAAD2SvwE=")</f>
        <v>#REF!</v>
      </c>
      <c r="C17" t="e">
        <f>AND('Listado General'!#REF!,"AAAAAD2SvwI=")</f>
        <v>#REF!</v>
      </c>
      <c r="D17" t="e">
        <f>AND('Listado General'!#REF!,"AAAAAD2SvwM=")</f>
        <v>#REF!</v>
      </c>
      <c r="E17" t="e">
        <f>AND('Listado General'!#REF!,"AAAAAD2SvwQ=")</f>
        <v>#REF!</v>
      </c>
      <c r="F17" t="e">
        <f>AND('Listado General'!#REF!,"AAAAAD2SvwU=")</f>
        <v>#REF!</v>
      </c>
      <c r="G17" t="e">
        <f>AND('Listado General'!#REF!,"AAAAAD2SvwY=")</f>
        <v>#REF!</v>
      </c>
      <c r="H17" t="e">
        <f>AND('Listado General'!#REF!,"AAAAAD2Svwc=")</f>
        <v>#REF!</v>
      </c>
      <c r="I17" t="e">
        <f>AND('Listado General'!#REF!,"AAAAAD2Svwg=")</f>
        <v>#REF!</v>
      </c>
      <c r="J17" t="e">
        <f>IF('Listado General'!#REF!,"AAAAAD2Svwk=",0)</f>
        <v>#REF!</v>
      </c>
      <c r="K17" t="e">
        <f>AND('Listado General'!#REF!,"AAAAAD2Svwo=")</f>
        <v>#REF!</v>
      </c>
      <c r="L17" t="e">
        <f>AND('Listado General'!#REF!,"AAAAAD2Svws=")</f>
        <v>#REF!</v>
      </c>
      <c r="M17" t="e">
        <f>AND('Listado General'!#REF!,"AAAAAD2Svww=")</f>
        <v>#REF!</v>
      </c>
      <c r="N17" t="e">
        <f>AND('Listado General'!#REF!,"AAAAAD2Svw0=")</f>
        <v>#REF!</v>
      </c>
      <c r="O17" t="e">
        <f>AND('Listado General'!#REF!,"AAAAAD2Svw4=")</f>
        <v>#REF!</v>
      </c>
      <c r="P17" t="e">
        <f>AND('Listado General'!#REF!,"AAAAAD2Svw8=")</f>
        <v>#REF!</v>
      </c>
      <c r="Q17" t="e">
        <f>AND('Listado General'!#REF!,"AAAAAD2SvxA=")</f>
        <v>#REF!</v>
      </c>
      <c r="R17" t="e">
        <f>AND('Listado General'!#REF!,"AAAAAD2SvxE=")</f>
        <v>#REF!</v>
      </c>
      <c r="S17" t="e">
        <f>AND('Listado General'!#REF!,"AAAAAD2SvxI=")</f>
        <v>#REF!</v>
      </c>
      <c r="T17" t="e">
        <f>IF('Listado General'!#REF!,"AAAAAD2SvxM=",0)</f>
        <v>#REF!</v>
      </c>
      <c r="U17" t="e">
        <f>AND('Listado General'!#REF!,"AAAAAD2SvxQ=")</f>
        <v>#REF!</v>
      </c>
      <c r="V17" t="e">
        <f>AND('Listado General'!#REF!,"AAAAAD2SvxU=")</f>
        <v>#REF!</v>
      </c>
      <c r="W17" t="e">
        <f>AND('Listado General'!#REF!,"AAAAAD2SvxY=")</f>
        <v>#REF!</v>
      </c>
      <c r="X17" t="e">
        <f>AND('Listado General'!#REF!,"AAAAAD2Svxc=")</f>
        <v>#REF!</v>
      </c>
      <c r="Y17" t="e">
        <f>AND('Listado General'!#REF!,"AAAAAD2Svxg=")</f>
        <v>#REF!</v>
      </c>
      <c r="Z17" t="e">
        <f>AND('Listado General'!#REF!,"AAAAAD2Svxk=")</f>
        <v>#REF!</v>
      </c>
      <c r="AA17" t="e">
        <f>AND('Listado General'!#REF!,"AAAAAD2Svxo=")</f>
        <v>#REF!</v>
      </c>
      <c r="AB17" t="e">
        <f>AND('Listado General'!#REF!,"AAAAAD2Svxs=")</f>
        <v>#REF!</v>
      </c>
      <c r="AC17" t="e">
        <f>AND('Listado General'!#REF!,"AAAAAD2Svxw=")</f>
        <v>#REF!</v>
      </c>
      <c r="AD17" t="e">
        <f>IF('Listado General'!#REF!,"AAAAAD2Svx0=",0)</f>
        <v>#REF!</v>
      </c>
      <c r="AE17" t="e">
        <f>AND('Listado General'!#REF!,"AAAAAD2Svx4=")</f>
        <v>#REF!</v>
      </c>
      <c r="AF17" t="e">
        <f>AND('Listado General'!#REF!,"AAAAAD2Svx8=")</f>
        <v>#REF!</v>
      </c>
      <c r="AG17" t="e">
        <f>AND('Listado General'!#REF!,"AAAAAD2SvyA=")</f>
        <v>#REF!</v>
      </c>
      <c r="AH17" t="e">
        <f>AND('Listado General'!#REF!,"AAAAAD2SvyE=")</f>
        <v>#REF!</v>
      </c>
      <c r="AI17" t="e">
        <f>AND('Listado General'!#REF!,"AAAAAD2SvyI=")</f>
        <v>#REF!</v>
      </c>
      <c r="AJ17" t="e">
        <f>AND('Listado General'!#REF!,"AAAAAD2SvyM=")</f>
        <v>#REF!</v>
      </c>
      <c r="AK17" t="e">
        <f>AND('Listado General'!#REF!,"AAAAAD2SvyQ=")</f>
        <v>#REF!</v>
      </c>
      <c r="AL17" t="e">
        <f>AND('Listado General'!#REF!,"AAAAAD2SvyU=")</f>
        <v>#REF!</v>
      </c>
      <c r="AM17" t="e">
        <f>AND('Listado General'!#REF!,"AAAAAD2SvyY=")</f>
        <v>#REF!</v>
      </c>
      <c r="AN17" t="e">
        <f>IF('Listado General'!#REF!,"AAAAAD2Svyc=",0)</f>
        <v>#REF!</v>
      </c>
      <c r="AO17" t="e">
        <f>AND('Listado General'!#REF!,"AAAAAD2Svyg=")</f>
        <v>#REF!</v>
      </c>
      <c r="AP17" t="e">
        <f>AND('Listado General'!#REF!,"AAAAAD2Svyk=")</f>
        <v>#REF!</v>
      </c>
      <c r="AQ17" t="e">
        <f>AND('Listado General'!#REF!,"AAAAAD2Svyo=")</f>
        <v>#REF!</v>
      </c>
      <c r="AR17" t="e">
        <f>AND('Listado General'!#REF!,"AAAAAD2Svys=")</f>
        <v>#REF!</v>
      </c>
      <c r="AS17" t="e">
        <f>AND('Listado General'!#REF!,"AAAAAD2Svyw=")</f>
        <v>#REF!</v>
      </c>
      <c r="AT17" t="e">
        <f>AND('Listado General'!#REF!,"AAAAAD2Svy0=")</f>
        <v>#REF!</v>
      </c>
      <c r="AU17" t="e">
        <f>AND('Listado General'!#REF!,"AAAAAD2Svy4=")</f>
        <v>#REF!</v>
      </c>
      <c r="AV17" t="e">
        <f>AND('Listado General'!#REF!,"AAAAAD2Svy8=")</f>
        <v>#REF!</v>
      </c>
      <c r="AW17" t="e">
        <f>AND('Listado General'!#REF!,"AAAAAD2SvzA=")</f>
        <v>#REF!</v>
      </c>
      <c r="AX17" t="e">
        <f>IF('Listado General'!#REF!,"AAAAAD2SvzE=",0)</f>
        <v>#REF!</v>
      </c>
      <c r="AY17" t="e">
        <f>AND('Listado General'!#REF!,"AAAAAD2SvzI=")</f>
        <v>#REF!</v>
      </c>
      <c r="AZ17" t="e">
        <f>AND('Listado General'!#REF!,"AAAAAD2SvzM=")</f>
        <v>#REF!</v>
      </c>
      <c r="BA17" t="e">
        <f>AND('Listado General'!#REF!,"AAAAAD2SvzQ=")</f>
        <v>#REF!</v>
      </c>
      <c r="BB17" t="e">
        <f>AND('Listado General'!#REF!,"AAAAAD2SvzU=")</f>
        <v>#REF!</v>
      </c>
      <c r="BC17" t="e">
        <f>AND('Listado General'!#REF!,"AAAAAD2SvzY=")</f>
        <v>#REF!</v>
      </c>
      <c r="BD17" t="e">
        <f>AND('Listado General'!#REF!,"AAAAAD2Svzc=")</f>
        <v>#REF!</v>
      </c>
      <c r="BE17" t="e">
        <f>AND('Listado General'!#REF!,"AAAAAD2Svzg=")</f>
        <v>#REF!</v>
      </c>
      <c r="BF17" t="e">
        <f>AND('Listado General'!#REF!,"AAAAAD2Svzk=")</f>
        <v>#REF!</v>
      </c>
      <c r="BG17" t="e">
        <f>AND('Listado General'!#REF!,"AAAAAD2Svzo=")</f>
        <v>#REF!</v>
      </c>
      <c r="BH17" t="e">
        <f>IF('Listado General'!#REF!,"AAAAAD2Svzs=",0)</f>
        <v>#REF!</v>
      </c>
      <c r="BI17" t="e">
        <f>AND('Listado General'!#REF!,"AAAAAD2Svzw=")</f>
        <v>#REF!</v>
      </c>
      <c r="BJ17" t="e">
        <f>AND('Listado General'!#REF!,"AAAAAD2Svz0=")</f>
        <v>#REF!</v>
      </c>
      <c r="BK17" t="e">
        <f>AND('Listado General'!#REF!,"AAAAAD2Svz4=")</f>
        <v>#REF!</v>
      </c>
      <c r="BL17" t="e">
        <f>AND('Listado General'!#REF!,"AAAAAD2Svz8=")</f>
        <v>#REF!</v>
      </c>
      <c r="BM17" t="e">
        <f>AND('Listado General'!#REF!,"AAAAAD2Sv0A=")</f>
        <v>#REF!</v>
      </c>
      <c r="BN17" t="e">
        <f>AND('Listado General'!#REF!,"AAAAAD2Sv0E=")</f>
        <v>#REF!</v>
      </c>
      <c r="BO17" t="e">
        <f>AND('Listado General'!#REF!,"AAAAAD2Sv0I=")</f>
        <v>#REF!</v>
      </c>
      <c r="BP17" t="e">
        <f>AND('Listado General'!#REF!,"AAAAAD2Sv0M=")</f>
        <v>#REF!</v>
      </c>
      <c r="BQ17" t="e">
        <f>AND('Listado General'!#REF!,"AAAAAD2Sv0Q=")</f>
        <v>#REF!</v>
      </c>
      <c r="BR17" t="e">
        <f>IF('Listado General'!#REF!,"AAAAAD2Sv0U=",0)</f>
        <v>#REF!</v>
      </c>
      <c r="BS17" t="e">
        <f>AND('Listado General'!#REF!,"AAAAAD2Sv0Y=")</f>
        <v>#REF!</v>
      </c>
      <c r="BT17" t="e">
        <f>AND('Listado General'!#REF!,"AAAAAD2Sv0c=")</f>
        <v>#REF!</v>
      </c>
      <c r="BU17" t="e">
        <f>AND('Listado General'!#REF!,"AAAAAD2Sv0g=")</f>
        <v>#REF!</v>
      </c>
      <c r="BV17" t="e">
        <f>AND('Listado General'!#REF!,"AAAAAD2Sv0k=")</f>
        <v>#REF!</v>
      </c>
      <c r="BW17" t="e">
        <f>AND('Listado General'!#REF!,"AAAAAD2Sv0o=")</f>
        <v>#REF!</v>
      </c>
      <c r="BX17" t="e">
        <f>AND('Listado General'!#REF!,"AAAAAD2Sv0s=")</f>
        <v>#REF!</v>
      </c>
      <c r="BY17" t="e">
        <f>AND('Listado General'!#REF!,"AAAAAD2Sv0w=")</f>
        <v>#REF!</v>
      </c>
      <c r="BZ17" t="e">
        <f>AND('Listado General'!#REF!,"AAAAAD2Sv00=")</f>
        <v>#REF!</v>
      </c>
      <c r="CA17" t="e">
        <f>AND('Listado General'!#REF!,"AAAAAD2Sv04=")</f>
        <v>#REF!</v>
      </c>
      <c r="CB17" t="e">
        <f>IF('Listado General'!#REF!,"AAAAAD2Sv08=",0)</f>
        <v>#REF!</v>
      </c>
      <c r="CC17" t="e">
        <f>AND('Listado General'!#REF!,"AAAAAD2Sv1A=")</f>
        <v>#REF!</v>
      </c>
      <c r="CD17" t="e">
        <f>AND('Listado General'!#REF!,"AAAAAD2Sv1E=")</f>
        <v>#REF!</v>
      </c>
      <c r="CE17" t="e">
        <f>AND('Listado General'!#REF!,"AAAAAD2Sv1I=")</f>
        <v>#REF!</v>
      </c>
      <c r="CF17" t="e">
        <f>AND('Listado General'!#REF!,"AAAAAD2Sv1M=")</f>
        <v>#REF!</v>
      </c>
      <c r="CG17" t="e">
        <f>AND('Listado General'!#REF!,"AAAAAD2Sv1Q=")</f>
        <v>#REF!</v>
      </c>
      <c r="CH17" t="e">
        <f>AND('Listado General'!#REF!,"AAAAAD2Sv1U=")</f>
        <v>#REF!</v>
      </c>
      <c r="CI17" t="e">
        <f>AND('Listado General'!#REF!,"AAAAAD2Sv1Y=")</f>
        <v>#REF!</v>
      </c>
      <c r="CJ17" t="e">
        <f>AND('Listado General'!#REF!,"AAAAAD2Sv1c=")</f>
        <v>#REF!</v>
      </c>
      <c r="CK17" t="e">
        <f>AND('Listado General'!#REF!,"AAAAAD2Sv1g=")</f>
        <v>#REF!</v>
      </c>
      <c r="CL17" t="e">
        <f>IF('Listado General'!#REF!,"AAAAAD2Sv1k=",0)</f>
        <v>#REF!</v>
      </c>
      <c r="CM17" t="e">
        <f>AND('Listado General'!#REF!,"AAAAAD2Sv1o=")</f>
        <v>#REF!</v>
      </c>
      <c r="CN17" t="e">
        <f>AND('Listado General'!#REF!,"AAAAAD2Sv1s=")</f>
        <v>#REF!</v>
      </c>
      <c r="CO17" t="e">
        <f>AND('Listado General'!#REF!,"AAAAAD2Sv1w=")</f>
        <v>#REF!</v>
      </c>
      <c r="CP17" t="e">
        <f>AND('Listado General'!#REF!,"AAAAAD2Sv10=")</f>
        <v>#REF!</v>
      </c>
      <c r="CQ17" t="e">
        <f>AND('Listado General'!#REF!,"AAAAAD2Sv14=")</f>
        <v>#REF!</v>
      </c>
      <c r="CR17" t="e">
        <f>AND('Listado General'!#REF!,"AAAAAD2Sv18=")</f>
        <v>#REF!</v>
      </c>
      <c r="CS17" t="e">
        <f>AND('Listado General'!#REF!,"AAAAAD2Sv2A=")</f>
        <v>#REF!</v>
      </c>
      <c r="CT17" t="e">
        <f>AND('Listado General'!#REF!,"AAAAAD2Sv2E=")</f>
        <v>#REF!</v>
      </c>
      <c r="CU17" t="e">
        <f>AND('Listado General'!#REF!,"AAAAAD2Sv2I=")</f>
        <v>#REF!</v>
      </c>
      <c r="CV17" t="e">
        <f>IF('Listado General'!#REF!,"AAAAAD2Sv2M=",0)</f>
        <v>#REF!</v>
      </c>
      <c r="CW17" t="e">
        <f>AND('Listado General'!#REF!,"AAAAAD2Sv2Q=")</f>
        <v>#REF!</v>
      </c>
      <c r="CX17" t="e">
        <f>AND('Listado General'!#REF!,"AAAAAD2Sv2U=")</f>
        <v>#REF!</v>
      </c>
      <c r="CY17" t="e">
        <f>AND('Listado General'!#REF!,"AAAAAD2Sv2Y=")</f>
        <v>#REF!</v>
      </c>
      <c r="CZ17" t="e">
        <f>AND('Listado General'!#REF!,"AAAAAD2Sv2c=")</f>
        <v>#REF!</v>
      </c>
      <c r="DA17" t="e">
        <f>AND('Listado General'!#REF!,"AAAAAD2Sv2g=")</f>
        <v>#REF!</v>
      </c>
      <c r="DB17" t="e">
        <f>AND('Listado General'!#REF!,"AAAAAD2Sv2k=")</f>
        <v>#REF!</v>
      </c>
      <c r="DC17" t="e">
        <f>AND('Listado General'!#REF!,"AAAAAD2Sv2o=")</f>
        <v>#REF!</v>
      </c>
      <c r="DD17" t="e">
        <f>AND('Listado General'!#REF!,"AAAAAD2Sv2s=")</f>
        <v>#REF!</v>
      </c>
      <c r="DE17" t="e">
        <f>AND('Listado General'!#REF!,"AAAAAD2Sv2w=")</f>
        <v>#REF!</v>
      </c>
      <c r="DF17" t="e">
        <f>IF('Listado General'!#REF!,"AAAAAD2Sv20=",0)</f>
        <v>#REF!</v>
      </c>
      <c r="DG17" t="e">
        <f>AND('Listado General'!#REF!,"AAAAAD2Sv24=")</f>
        <v>#REF!</v>
      </c>
      <c r="DH17" t="e">
        <f>AND('Listado General'!#REF!,"AAAAAD2Sv28=")</f>
        <v>#REF!</v>
      </c>
      <c r="DI17" t="e">
        <f>AND('Listado General'!#REF!,"AAAAAD2Sv3A=")</f>
        <v>#REF!</v>
      </c>
      <c r="DJ17" t="e">
        <f>AND('Listado General'!#REF!,"AAAAAD2Sv3E=")</f>
        <v>#REF!</v>
      </c>
      <c r="DK17" t="e">
        <f>AND('Listado General'!#REF!,"AAAAAD2Sv3I=")</f>
        <v>#REF!</v>
      </c>
      <c r="DL17" t="e">
        <f>AND('Listado General'!#REF!,"AAAAAD2Sv3M=")</f>
        <v>#REF!</v>
      </c>
      <c r="DM17" t="e">
        <f>AND('Listado General'!#REF!,"AAAAAD2Sv3Q=")</f>
        <v>#REF!</v>
      </c>
      <c r="DN17" t="e">
        <f>AND('Listado General'!#REF!,"AAAAAD2Sv3U=")</f>
        <v>#REF!</v>
      </c>
      <c r="DO17" t="e">
        <f>AND('Listado General'!#REF!,"AAAAAD2Sv3Y=")</f>
        <v>#REF!</v>
      </c>
      <c r="DP17" t="e">
        <f>IF('Listado General'!#REF!,"AAAAAD2Sv3c=",0)</f>
        <v>#REF!</v>
      </c>
      <c r="DQ17" t="e">
        <f>AND('Listado General'!#REF!,"AAAAAD2Sv3g=")</f>
        <v>#REF!</v>
      </c>
      <c r="DR17" t="e">
        <f>AND('Listado General'!#REF!,"AAAAAD2Sv3k=")</f>
        <v>#REF!</v>
      </c>
      <c r="DS17" t="e">
        <f>AND('Listado General'!#REF!,"AAAAAD2Sv3o=")</f>
        <v>#REF!</v>
      </c>
      <c r="DT17" t="e">
        <f>AND('Listado General'!#REF!,"AAAAAD2Sv3s=")</f>
        <v>#REF!</v>
      </c>
      <c r="DU17" t="e">
        <f>AND('Listado General'!#REF!,"AAAAAD2Sv3w=")</f>
        <v>#REF!</v>
      </c>
      <c r="DV17" t="e">
        <f>AND('Listado General'!#REF!,"AAAAAD2Sv30=")</f>
        <v>#REF!</v>
      </c>
      <c r="DW17" t="e">
        <f>AND('Listado General'!#REF!,"AAAAAD2Sv34=")</f>
        <v>#REF!</v>
      </c>
      <c r="DX17" t="e">
        <f>AND('Listado General'!#REF!,"AAAAAD2Sv38=")</f>
        <v>#REF!</v>
      </c>
      <c r="DY17" t="e">
        <f>AND('Listado General'!#REF!,"AAAAAD2Sv4A=")</f>
        <v>#REF!</v>
      </c>
      <c r="DZ17" t="e">
        <f>IF('Listado General'!#REF!,"AAAAAD2Sv4E=",0)</f>
        <v>#REF!</v>
      </c>
      <c r="EA17" t="e">
        <f>AND('Listado General'!#REF!,"AAAAAD2Sv4I=")</f>
        <v>#REF!</v>
      </c>
      <c r="EB17" t="e">
        <f>AND('Listado General'!#REF!,"AAAAAD2Sv4M=")</f>
        <v>#REF!</v>
      </c>
      <c r="EC17" t="e">
        <f>AND('Listado General'!#REF!,"AAAAAD2Sv4Q=")</f>
        <v>#REF!</v>
      </c>
      <c r="ED17" t="e">
        <f>AND('Listado General'!#REF!,"AAAAAD2Sv4U=")</f>
        <v>#REF!</v>
      </c>
      <c r="EE17" t="e">
        <f>AND('Listado General'!#REF!,"AAAAAD2Sv4Y=")</f>
        <v>#REF!</v>
      </c>
      <c r="EF17" t="e">
        <f>AND('Listado General'!#REF!,"AAAAAD2Sv4c=")</f>
        <v>#REF!</v>
      </c>
      <c r="EG17" t="e">
        <f>AND('Listado General'!#REF!,"AAAAAD2Sv4g=")</f>
        <v>#REF!</v>
      </c>
      <c r="EH17" t="e">
        <f>AND('Listado General'!#REF!,"AAAAAD2Sv4k=")</f>
        <v>#REF!</v>
      </c>
      <c r="EI17" t="e">
        <f>AND('Listado General'!#REF!,"AAAAAD2Sv4o=")</f>
        <v>#REF!</v>
      </c>
      <c r="EJ17" t="e">
        <f>IF('Listado General'!#REF!,"AAAAAD2Sv4s=",0)</f>
        <v>#REF!</v>
      </c>
      <c r="EK17" t="e">
        <f>AND('Listado General'!#REF!,"AAAAAD2Sv4w=")</f>
        <v>#REF!</v>
      </c>
      <c r="EL17" t="e">
        <f>AND('Listado General'!#REF!,"AAAAAD2Sv40=")</f>
        <v>#REF!</v>
      </c>
      <c r="EM17" t="e">
        <f>AND('Listado General'!#REF!,"AAAAAD2Sv44=")</f>
        <v>#REF!</v>
      </c>
      <c r="EN17" t="e">
        <f>AND('Listado General'!#REF!,"AAAAAD2Sv48=")</f>
        <v>#REF!</v>
      </c>
      <c r="EO17" t="e">
        <f>AND('Listado General'!#REF!,"AAAAAD2Sv5A=")</f>
        <v>#REF!</v>
      </c>
      <c r="EP17" t="e">
        <f>AND('Listado General'!#REF!,"AAAAAD2Sv5E=")</f>
        <v>#REF!</v>
      </c>
      <c r="EQ17" t="e">
        <f>AND('Listado General'!#REF!,"AAAAAD2Sv5I=")</f>
        <v>#REF!</v>
      </c>
      <c r="ER17" t="e">
        <f>AND('Listado General'!#REF!,"AAAAAD2Sv5M=")</f>
        <v>#REF!</v>
      </c>
      <c r="ES17" t="e">
        <f>AND('Listado General'!#REF!,"AAAAAD2Sv5Q=")</f>
        <v>#REF!</v>
      </c>
      <c r="ET17" t="e">
        <f>IF('Listado General'!#REF!,"AAAAAD2Sv5U=",0)</f>
        <v>#REF!</v>
      </c>
      <c r="EU17" t="e">
        <f>AND('Listado General'!#REF!,"AAAAAD2Sv5Y=")</f>
        <v>#REF!</v>
      </c>
      <c r="EV17" t="e">
        <f>AND('Listado General'!#REF!,"AAAAAD2Sv5c=")</f>
        <v>#REF!</v>
      </c>
      <c r="EW17" t="e">
        <f>AND('Listado General'!#REF!,"AAAAAD2Sv5g=")</f>
        <v>#REF!</v>
      </c>
      <c r="EX17" t="e">
        <f>AND('Listado General'!#REF!,"AAAAAD2Sv5k=")</f>
        <v>#REF!</v>
      </c>
      <c r="EY17" t="e">
        <f>AND('Listado General'!#REF!,"AAAAAD2Sv5o=")</f>
        <v>#REF!</v>
      </c>
      <c r="EZ17" t="e">
        <f>AND('Listado General'!#REF!,"AAAAAD2Sv5s=")</f>
        <v>#REF!</v>
      </c>
      <c r="FA17" t="e">
        <f>AND('Listado General'!#REF!,"AAAAAD2Sv5w=")</f>
        <v>#REF!</v>
      </c>
      <c r="FB17" t="e">
        <f>AND('Listado General'!#REF!,"AAAAAD2Sv50=")</f>
        <v>#REF!</v>
      </c>
      <c r="FC17" t="e">
        <f>AND('Listado General'!#REF!,"AAAAAD2Sv54=")</f>
        <v>#REF!</v>
      </c>
      <c r="FD17" t="e">
        <f>IF('Listado General'!#REF!,"AAAAAD2Sv58=",0)</f>
        <v>#REF!</v>
      </c>
      <c r="FE17" t="e">
        <f>AND('Listado General'!#REF!,"AAAAAD2Sv6A=")</f>
        <v>#REF!</v>
      </c>
      <c r="FF17" t="e">
        <f>AND('Listado General'!#REF!,"AAAAAD2Sv6E=")</f>
        <v>#REF!</v>
      </c>
      <c r="FG17" t="e">
        <f>AND('Listado General'!#REF!,"AAAAAD2Sv6I=")</f>
        <v>#REF!</v>
      </c>
      <c r="FH17" t="e">
        <f>AND('Listado General'!#REF!,"AAAAAD2Sv6M=")</f>
        <v>#REF!</v>
      </c>
      <c r="FI17" t="e">
        <f>AND('Listado General'!#REF!,"AAAAAD2Sv6Q=")</f>
        <v>#REF!</v>
      </c>
      <c r="FJ17" t="e">
        <f>AND('Listado General'!#REF!,"AAAAAD2Sv6U=")</f>
        <v>#REF!</v>
      </c>
      <c r="FK17" t="e">
        <f>AND('Listado General'!#REF!,"AAAAAD2Sv6Y=")</f>
        <v>#REF!</v>
      </c>
      <c r="FL17" t="e">
        <f>AND('Listado General'!#REF!,"AAAAAD2Sv6c=")</f>
        <v>#REF!</v>
      </c>
      <c r="FM17" t="e">
        <f>AND('Listado General'!#REF!,"AAAAAD2Sv6g=")</f>
        <v>#REF!</v>
      </c>
      <c r="FN17" t="e">
        <f>IF('Listado General'!#REF!,"AAAAAD2Sv6k=",0)</f>
        <v>#REF!</v>
      </c>
      <c r="FO17" t="e">
        <f>AND('Listado General'!#REF!,"AAAAAD2Sv6o=")</f>
        <v>#REF!</v>
      </c>
      <c r="FP17" t="e">
        <f>AND('Listado General'!#REF!,"AAAAAD2Sv6s=")</f>
        <v>#REF!</v>
      </c>
      <c r="FQ17" t="e">
        <f>AND('Listado General'!#REF!,"AAAAAD2Sv6w=")</f>
        <v>#REF!</v>
      </c>
      <c r="FR17" t="e">
        <f>AND('Listado General'!#REF!,"AAAAAD2Sv60=")</f>
        <v>#REF!</v>
      </c>
      <c r="FS17" t="e">
        <f>AND('Listado General'!#REF!,"AAAAAD2Sv64=")</f>
        <v>#REF!</v>
      </c>
      <c r="FT17" t="e">
        <f>AND('Listado General'!#REF!,"AAAAAD2Sv68=")</f>
        <v>#REF!</v>
      </c>
      <c r="FU17" t="e">
        <f>AND('Listado General'!#REF!,"AAAAAD2Sv7A=")</f>
        <v>#REF!</v>
      </c>
      <c r="FV17" t="e">
        <f>AND('Listado General'!#REF!,"AAAAAD2Sv7E=")</f>
        <v>#REF!</v>
      </c>
      <c r="FW17" t="e">
        <f>AND('Listado General'!#REF!,"AAAAAD2Sv7I=")</f>
        <v>#REF!</v>
      </c>
      <c r="FX17" t="e">
        <f>IF('Listado General'!#REF!,"AAAAAD2Sv7M=",0)</f>
        <v>#REF!</v>
      </c>
      <c r="FY17" t="e">
        <f>AND('Listado General'!#REF!,"AAAAAD2Sv7Q=")</f>
        <v>#REF!</v>
      </c>
      <c r="FZ17" t="e">
        <f>AND('Listado General'!#REF!,"AAAAAD2Sv7U=")</f>
        <v>#REF!</v>
      </c>
      <c r="GA17" t="e">
        <f>AND('Listado General'!#REF!,"AAAAAD2Sv7Y=")</f>
        <v>#REF!</v>
      </c>
      <c r="GB17" t="e">
        <f>AND('Listado General'!#REF!,"AAAAAD2Sv7c=")</f>
        <v>#REF!</v>
      </c>
      <c r="GC17" t="e">
        <f>AND('Listado General'!#REF!,"AAAAAD2Sv7g=")</f>
        <v>#REF!</v>
      </c>
      <c r="GD17" t="e">
        <f>AND('Listado General'!#REF!,"AAAAAD2Sv7k=")</f>
        <v>#REF!</v>
      </c>
      <c r="GE17" t="e">
        <f>AND('Listado General'!#REF!,"AAAAAD2Sv7o=")</f>
        <v>#REF!</v>
      </c>
      <c r="GF17" t="e">
        <f>AND('Listado General'!#REF!,"AAAAAD2Sv7s=")</f>
        <v>#REF!</v>
      </c>
      <c r="GG17" t="e">
        <f>AND('Listado General'!#REF!,"AAAAAD2Sv7w=")</f>
        <v>#REF!</v>
      </c>
      <c r="GH17" t="e">
        <f>IF('Listado General'!#REF!,"AAAAAD2Sv70=",0)</f>
        <v>#REF!</v>
      </c>
      <c r="GI17" t="e">
        <f>AND('Listado General'!#REF!,"AAAAAD2Sv74=")</f>
        <v>#REF!</v>
      </c>
      <c r="GJ17" t="e">
        <f>AND('Listado General'!#REF!,"AAAAAD2Sv78=")</f>
        <v>#REF!</v>
      </c>
      <c r="GK17" t="e">
        <f>AND('Listado General'!#REF!,"AAAAAD2Sv8A=")</f>
        <v>#REF!</v>
      </c>
      <c r="GL17" t="e">
        <f>AND('Listado General'!#REF!,"AAAAAD2Sv8E=")</f>
        <v>#REF!</v>
      </c>
      <c r="GM17" t="e">
        <f>AND('Listado General'!#REF!,"AAAAAD2Sv8I=")</f>
        <v>#REF!</v>
      </c>
      <c r="GN17" t="e">
        <f>AND('Listado General'!#REF!,"AAAAAD2Sv8M=")</f>
        <v>#REF!</v>
      </c>
      <c r="GO17" t="e">
        <f>AND('Listado General'!#REF!,"AAAAAD2Sv8Q=")</f>
        <v>#REF!</v>
      </c>
      <c r="GP17" t="e">
        <f>AND('Listado General'!#REF!,"AAAAAD2Sv8U=")</f>
        <v>#REF!</v>
      </c>
      <c r="GQ17" t="e">
        <f>AND('Listado General'!#REF!,"AAAAAD2Sv8Y=")</f>
        <v>#REF!</v>
      </c>
      <c r="GR17" t="e">
        <f>IF('Listado General'!#REF!,"AAAAAD2Sv8c=",0)</f>
        <v>#REF!</v>
      </c>
      <c r="GS17" t="e">
        <f>AND('Listado General'!#REF!,"AAAAAD2Sv8g=")</f>
        <v>#REF!</v>
      </c>
      <c r="GT17" t="e">
        <f>AND('Listado General'!#REF!,"AAAAAD2Sv8k=")</f>
        <v>#REF!</v>
      </c>
      <c r="GU17" t="e">
        <f>AND('Listado General'!#REF!,"AAAAAD2Sv8o=")</f>
        <v>#REF!</v>
      </c>
      <c r="GV17" t="e">
        <f>AND('Listado General'!#REF!,"AAAAAD2Sv8s=")</f>
        <v>#REF!</v>
      </c>
      <c r="GW17" t="e">
        <f>AND('Listado General'!#REF!,"AAAAAD2Sv8w=")</f>
        <v>#REF!</v>
      </c>
      <c r="GX17" t="e">
        <f>AND('Listado General'!#REF!,"AAAAAD2Sv80=")</f>
        <v>#REF!</v>
      </c>
      <c r="GY17" t="e">
        <f>AND('Listado General'!#REF!,"AAAAAD2Sv84=")</f>
        <v>#REF!</v>
      </c>
      <c r="GZ17" t="e">
        <f>AND('Listado General'!#REF!,"AAAAAD2Sv88=")</f>
        <v>#REF!</v>
      </c>
      <c r="HA17" t="e">
        <f>AND('Listado General'!#REF!,"AAAAAD2Sv9A=")</f>
        <v>#REF!</v>
      </c>
      <c r="HB17" t="e">
        <f>IF('Listado General'!#REF!,"AAAAAD2Sv9E=",0)</f>
        <v>#REF!</v>
      </c>
      <c r="HC17" t="e">
        <f>AND('Listado General'!#REF!,"AAAAAD2Sv9I=")</f>
        <v>#REF!</v>
      </c>
      <c r="HD17" t="e">
        <f>AND('Listado General'!#REF!,"AAAAAD2Sv9M=")</f>
        <v>#REF!</v>
      </c>
      <c r="HE17" t="e">
        <f>AND('Listado General'!#REF!,"AAAAAD2Sv9Q=")</f>
        <v>#REF!</v>
      </c>
      <c r="HF17" t="e">
        <f>AND('Listado General'!#REF!,"AAAAAD2Sv9U=")</f>
        <v>#REF!</v>
      </c>
      <c r="HG17" t="e">
        <f>AND('Listado General'!#REF!,"AAAAAD2Sv9Y=")</f>
        <v>#REF!</v>
      </c>
      <c r="HH17" t="e">
        <f>AND('Listado General'!#REF!,"AAAAAD2Sv9c=")</f>
        <v>#REF!</v>
      </c>
      <c r="HI17" t="e">
        <f>AND('Listado General'!#REF!,"AAAAAD2Sv9g=")</f>
        <v>#REF!</v>
      </c>
      <c r="HJ17" t="e">
        <f>AND('Listado General'!#REF!,"AAAAAD2Sv9k=")</f>
        <v>#REF!</v>
      </c>
      <c r="HK17" t="e">
        <f>AND('Listado General'!#REF!,"AAAAAD2Sv9o=")</f>
        <v>#REF!</v>
      </c>
      <c r="HL17" t="e">
        <f>IF('Listado General'!#REF!,"AAAAAD2Sv9s=",0)</f>
        <v>#REF!</v>
      </c>
      <c r="HM17" t="e">
        <f>AND('Listado General'!#REF!,"AAAAAD2Sv9w=")</f>
        <v>#REF!</v>
      </c>
      <c r="HN17" t="e">
        <f>AND('Listado General'!#REF!,"AAAAAD2Sv90=")</f>
        <v>#REF!</v>
      </c>
      <c r="HO17" t="e">
        <f>AND('Listado General'!#REF!,"AAAAAD2Sv94=")</f>
        <v>#REF!</v>
      </c>
      <c r="HP17" t="e">
        <f>AND('Listado General'!#REF!,"AAAAAD2Sv98=")</f>
        <v>#REF!</v>
      </c>
      <c r="HQ17" t="e">
        <f>AND('Listado General'!#REF!,"AAAAAD2Sv+A=")</f>
        <v>#REF!</v>
      </c>
      <c r="HR17" t="e">
        <f>AND('Listado General'!#REF!,"AAAAAD2Sv+E=")</f>
        <v>#REF!</v>
      </c>
      <c r="HS17" t="e">
        <f>AND('Listado General'!#REF!,"AAAAAD2Sv+I=")</f>
        <v>#REF!</v>
      </c>
      <c r="HT17" t="e">
        <f>AND('Listado General'!#REF!,"AAAAAD2Sv+M=")</f>
        <v>#REF!</v>
      </c>
      <c r="HU17" t="e">
        <f>AND('Listado General'!#REF!,"AAAAAD2Sv+Q=")</f>
        <v>#REF!</v>
      </c>
      <c r="HV17" t="e">
        <f>IF('Listado General'!#REF!,"AAAAAD2Sv+U=",0)</f>
        <v>#REF!</v>
      </c>
      <c r="HW17" t="e">
        <f>AND('Listado General'!#REF!,"AAAAAD2Sv+Y=")</f>
        <v>#REF!</v>
      </c>
      <c r="HX17" t="e">
        <f>AND('Listado General'!#REF!,"AAAAAD2Sv+c=")</f>
        <v>#REF!</v>
      </c>
      <c r="HY17" t="e">
        <f>AND('Listado General'!#REF!,"AAAAAD2Sv+g=")</f>
        <v>#REF!</v>
      </c>
      <c r="HZ17" t="e">
        <f>AND('Listado General'!#REF!,"AAAAAD2Sv+k=")</f>
        <v>#REF!</v>
      </c>
      <c r="IA17" t="e">
        <f>AND('Listado General'!#REF!,"AAAAAD2Sv+o=")</f>
        <v>#REF!</v>
      </c>
      <c r="IB17" t="e">
        <f>AND('Listado General'!#REF!,"AAAAAD2Sv+s=")</f>
        <v>#REF!</v>
      </c>
      <c r="IC17" t="e">
        <f>AND('Listado General'!#REF!,"AAAAAD2Sv+w=")</f>
        <v>#REF!</v>
      </c>
      <c r="ID17" t="e">
        <f>AND('Listado General'!#REF!,"AAAAAD2Sv+0=")</f>
        <v>#REF!</v>
      </c>
      <c r="IE17" t="e">
        <f>AND('Listado General'!#REF!,"AAAAAD2Sv+4=")</f>
        <v>#REF!</v>
      </c>
      <c r="IF17" t="e">
        <f>IF('Listado General'!#REF!,"AAAAAD2Sv+8=",0)</f>
        <v>#REF!</v>
      </c>
      <c r="IG17" t="e">
        <f>AND('Listado General'!#REF!,"AAAAAD2Sv/A=")</f>
        <v>#REF!</v>
      </c>
      <c r="IH17" t="e">
        <f>AND('Listado General'!#REF!,"AAAAAD2Sv/E=")</f>
        <v>#REF!</v>
      </c>
      <c r="II17" t="e">
        <f>AND('Listado General'!#REF!,"AAAAAD2Sv/I=")</f>
        <v>#REF!</v>
      </c>
      <c r="IJ17" t="e">
        <f>AND('Listado General'!#REF!,"AAAAAD2Sv/M=")</f>
        <v>#REF!</v>
      </c>
      <c r="IK17" t="e">
        <f>AND('Listado General'!#REF!,"AAAAAD2Sv/Q=")</f>
        <v>#REF!</v>
      </c>
      <c r="IL17" t="e">
        <f>AND('Listado General'!#REF!,"AAAAAD2Sv/U=")</f>
        <v>#REF!</v>
      </c>
      <c r="IM17" t="e">
        <f>AND('Listado General'!#REF!,"AAAAAD2Sv/Y=")</f>
        <v>#REF!</v>
      </c>
      <c r="IN17" t="e">
        <f>AND('Listado General'!#REF!,"AAAAAD2Sv/c=")</f>
        <v>#REF!</v>
      </c>
      <c r="IO17" t="e">
        <f>AND('Listado General'!#REF!,"AAAAAD2Sv/g=")</f>
        <v>#REF!</v>
      </c>
      <c r="IP17" t="e">
        <f>IF('Listado General'!#REF!,"AAAAAD2Sv/k=",0)</f>
        <v>#REF!</v>
      </c>
      <c r="IQ17" t="e">
        <f>AND('Listado General'!#REF!,"AAAAAD2Sv/o=")</f>
        <v>#REF!</v>
      </c>
      <c r="IR17" t="e">
        <f>AND('Listado General'!#REF!,"AAAAAD2Sv/s=")</f>
        <v>#REF!</v>
      </c>
      <c r="IS17" t="e">
        <f>AND('Listado General'!#REF!,"AAAAAD2Sv/w=")</f>
        <v>#REF!</v>
      </c>
      <c r="IT17" t="e">
        <f>AND('Listado General'!#REF!,"AAAAAD2Sv/0=")</f>
        <v>#REF!</v>
      </c>
      <c r="IU17" t="e">
        <f>AND('Listado General'!#REF!,"AAAAAD2Sv/4=")</f>
        <v>#REF!</v>
      </c>
      <c r="IV17" t="e">
        <f>AND('Listado General'!#REF!,"AAAAAD2Sv/8=")</f>
        <v>#REF!</v>
      </c>
    </row>
    <row r="18" spans="1:256" ht="12.75">
      <c r="A18" t="e">
        <f>AND('Listado General'!#REF!,"AAAAAD/9LAA=")</f>
        <v>#REF!</v>
      </c>
      <c r="B18" t="e">
        <f>AND('Listado General'!#REF!,"AAAAAD/9LAE=")</f>
        <v>#REF!</v>
      </c>
      <c r="C18" t="e">
        <f>AND('Listado General'!#REF!,"AAAAAD/9LAI=")</f>
        <v>#REF!</v>
      </c>
      <c r="D18" t="e">
        <f>IF('Listado General'!#REF!,"AAAAAD/9LAM=",0)</f>
        <v>#REF!</v>
      </c>
      <c r="E18" t="e">
        <f>AND('Listado General'!#REF!,"AAAAAD/9LAQ=")</f>
        <v>#REF!</v>
      </c>
      <c r="F18" t="e">
        <f>AND('Listado General'!#REF!,"AAAAAD/9LAU=")</f>
        <v>#REF!</v>
      </c>
      <c r="G18" t="e">
        <f>AND('Listado General'!#REF!,"AAAAAD/9LAY=")</f>
        <v>#REF!</v>
      </c>
      <c r="H18" t="e">
        <f>AND('Listado General'!#REF!,"AAAAAD/9LAc=")</f>
        <v>#REF!</v>
      </c>
      <c r="I18" t="e">
        <f>AND('Listado General'!#REF!,"AAAAAD/9LAg=")</f>
        <v>#REF!</v>
      </c>
      <c r="J18" t="e">
        <f>AND('Listado General'!#REF!,"AAAAAD/9LAk=")</f>
        <v>#REF!</v>
      </c>
      <c r="K18" t="e">
        <f>AND('Listado General'!#REF!,"AAAAAD/9LAo=")</f>
        <v>#REF!</v>
      </c>
      <c r="L18" t="e">
        <f>AND('Listado General'!#REF!,"AAAAAD/9LAs=")</f>
        <v>#REF!</v>
      </c>
      <c r="M18" t="e">
        <f>AND('Listado General'!#REF!,"AAAAAD/9LAw=")</f>
        <v>#REF!</v>
      </c>
      <c r="N18" t="e">
        <f>IF('Listado General'!#REF!,"AAAAAD/9LA0=",0)</f>
        <v>#REF!</v>
      </c>
      <c r="O18" t="e">
        <f>AND('Listado General'!#REF!,"AAAAAD/9LA4=")</f>
        <v>#REF!</v>
      </c>
      <c r="P18" t="e">
        <f>AND('Listado General'!#REF!,"AAAAAD/9LA8=")</f>
        <v>#REF!</v>
      </c>
      <c r="Q18" t="e">
        <f>AND('Listado General'!#REF!,"AAAAAD/9LBA=")</f>
        <v>#REF!</v>
      </c>
      <c r="R18" t="e">
        <f>AND('Listado General'!#REF!,"AAAAAD/9LBE=")</f>
        <v>#REF!</v>
      </c>
      <c r="S18" t="e">
        <f>AND('Listado General'!#REF!,"AAAAAD/9LBI=")</f>
        <v>#REF!</v>
      </c>
      <c r="T18" t="e">
        <f>AND('Listado General'!#REF!,"AAAAAD/9LBM=")</f>
        <v>#REF!</v>
      </c>
      <c r="U18" t="e">
        <f>AND('Listado General'!#REF!,"AAAAAD/9LBQ=")</f>
        <v>#REF!</v>
      </c>
      <c r="V18" t="e">
        <f>AND('Listado General'!#REF!,"AAAAAD/9LBU=")</f>
        <v>#REF!</v>
      </c>
      <c r="W18" t="e">
        <f>AND('Listado General'!#REF!,"AAAAAD/9LBY=")</f>
        <v>#REF!</v>
      </c>
      <c r="X18" t="e">
        <f>IF('Listado General'!#REF!,"AAAAAD/9LBc=",0)</f>
        <v>#REF!</v>
      </c>
      <c r="Y18" t="e">
        <f>AND('Listado General'!#REF!,"AAAAAD/9LBg=")</f>
        <v>#REF!</v>
      </c>
      <c r="Z18" t="e">
        <f>AND('Listado General'!#REF!,"AAAAAD/9LBk=")</f>
        <v>#REF!</v>
      </c>
      <c r="AA18" t="e">
        <f>AND('Listado General'!#REF!,"AAAAAD/9LBo=")</f>
        <v>#REF!</v>
      </c>
      <c r="AB18" t="e">
        <f>AND('Listado General'!#REF!,"AAAAAD/9LBs=")</f>
        <v>#REF!</v>
      </c>
      <c r="AC18" t="e">
        <f>AND('Listado General'!#REF!,"AAAAAD/9LBw=")</f>
        <v>#REF!</v>
      </c>
      <c r="AD18" t="e">
        <f>AND('Listado General'!#REF!,"AAAAAD/9LB0=")</f>
        <v>#REF!</v>
      </c>
      <c r="AE18" t="e">
        <f>AND('Listado General'!#REF!,"AAAAAD/9LB4=")</f>
        <v>#REF!</v>
      </c>
      <c r="AF18" t="e">
        <f>AND('Listado General'!#REF!,"AAAAAD/9LB8=")</f>
        <v>#REF!</v>
      </c>
      <c r="AG18" t="e">
        <f>AND('Listado General'!#REF!,"AAAAAD/9LCA=")</f>
        <v>#REF!</v>
      </c>
      <c r="AH18" t="e">
        <f>IF('Listado General'!#REF!,"AAAAAD/9LCE=",0)</f>
        <v>#REF!</v>
      </c>
      <c r="AI18" t="e">
        <f>AND('Listado General'!#REF!,"AAAAAD/9LCI=")</f>
        <v>#REF!</v>
      </c>
      <c r="AJ18" t="e">
        <f>AND('Listado General'!#REF!,"AAAAAD/9LCM=")</f>
        <v>#REF!</v>
      </c>
      <c r="AK18" t="e">
        <f>AND('Listado General'!#REF!,"AAAAAD/9LCQ=")</f>
        <v>#REF!</v>
      </c>
      <c r="AL18" t="e">
        <f>AND('Listado General'!#REF!,"AAAAAD/9LCU=")</f>
        <v>#REF!</v>
      </c>
      <c r="AM18" t="e">
        <f>AND('Listado General'!#REF!,"AAAAAD/9LCY=")</f>
        <v>#REF!</v>
      </c>
      <c r="AN18" t="e">
        <f>AND('Listado General'!#REF!,"AAAAAD/9LCc=")</f>
        <v>#REF!</v>
      </c>
      <c r="AO18" t="e">
        <f>AND('Listado General'!#REF!,"AAAAAD/9LCg=")</f>
        <v>#REF!</v>
      </c>
      <c r="AP18" t="e">
        <f>AND('Listado General'!#REF!,"AAAAAD/9LCk=")</f>
        <v>#REF!</v>
      </c>
      <c r="AQ18" t="e">
        <f>AND('Listado General'!#REF!,"AAAAAD/9LCo=")</f>
        <v>#REF!</v>
      </c>
      <c r="AR18" t="e">
        <f>IF('Listado General'!#REF!,"AAAAAD/9LCs=",0)</f>
        <v>#REF!</v>
      </c>
      <c r="AS18" t="e">
        <f>AND('Listado General'!#REF!,"AAAAAD/9LCw=")</f>
        <v>#REF!</v>
      </c>
      <c r="AT18" t="e">
        <f>AND('Listado General'!#REF!,"AAAAAD/9LC0=")</f>
        <v>#REF!</v>
      </c>
      <c r="AU18" t="e">
        <f>AND('Listado General'!#REF!,"AAAAAD/9LC4=")</f>
        <v>#REF!</v>
      </c>
      <c r="AV18" t="e">
        <f>AND('Listado General'!#REF!,"AAAAAD/9LC8=")</f>
        <v>#REF!</v>
      </c>
      <c r="AW18" t="e">
        <f>AND('Listado General'!#REF!,"AAAAAD/9LDA=")</f>
        <v>#REF!</v>
      </c>
      <c r="AX18" t="e">
        <f>AND('Listado General'!#REF!,"AAAAAD/9LDE=")</f>
        <v>#REF!</v>
      </c>
      <c r="AY18" t="e">
        <f>AND('Listado General'!#REF!,"AAAAAD/9LDI=")</f>
        <v>#REF!</v>
      </c>
      <c r="AZ18" t="e">
        <f>AND('Listado General'!#REF!,"AAAAAD/9LDM=")</f>
        <v>#REF!</v>
      </c>
      <c r="BA18" t="e">
        <f>AND('Listado General'!#REF!,"AAAAAD/9LDQ=")</f>
        <v>#REF!</v>
      </c>
      <c r="BB18" t="e">
        <f>IF('Listado General'!#REF!,"AAAAAD/9LDU=",0)</f>
        <v>#REF!</v>
      </c>
      <c r="BC18" t="e">
        <f>AND('Listado General'!#REF!,"AAAAAD/9LDY=")</f>
        <v>#REF!</v>
      </c>
      <c r="BD18" t="e">
        <f>AND('Listado General'!#REF!,"AAAAAD/9LDc=")</f>
        <v>#REF!</v>
      </c>
      <c r="BE18" t="e">
        <f>AND('Listado General'!#REF!,"AAAAAD/9LDg=")</f>
        <v>#REF!</v>
      </c>
      <c r="BF18" t="e">
        <f>AND('Listado General'!#REF!,"AAAAAD/9LDk=")</f>
        <v>#REF!</v>
      </c>
      <c r="BG18" t="e">
        <f>AND('Listado General'!#REF!,"AAAAAD/9LDo=")</f>
        <v>#REF!</v>
      </c>
      <c r="BH18" t="e">
        <f>AND('Listado General'!#REF!,"AAAAAD/9LDs=")</f>
        <v>#REF!</v>
      </c>
      <c r="BI18" t="e">
        <f>AND('Listado General'!#REF!,"AAAAAD/9LDw=")</f>
        <v>#REF!</v>
      </c>
      <c r="BJ18" t="e">
        <f>AND('Listado General'!#REF!,"AAAAAD/9LD0=")</f>
        <v>#REF!</v>
      </c>
      <c r="BK18" t="e">
        <f>AND('Listado General'!#REF!,"AAAAAD/9LD4=")</f>
        <v>#REF!</v>
      </c>
      <c r="BL18" t="e">
        <f>IF('Listado General'!#REF!,"AAAAAD/9LD8=",0)</f>
        <v>#REF!</v>
      </c>
      <c r="BM18" t="e">
        <f>AND('Listado General'!#REF!,"AAAAAD/9LEA=")</f>
        <v>#REF!</v>
      </c>
      <c r="BN18" t="e">
        <f>AND('Listado General'!#REF!,"AAAAAD/9LEE=")</f>
        <v>#REF!</v>
      </c>
      <c r="BO18" t="e">
        <f>AND('Listado General'!#REF!,"AAAAAD/9LEI=")</f>
        <v>#REF!</v>
      </c>
      <c r="BP18" t="e">
        <f>AND('Listado General'!#REF!,"AAAAAD/9LEM=")</f>
        <v>#REF!</v>
      </c>
      <c r="BQ18" t="e">
        <f>AND('Listado General'!#REF!,"AAAAAD/9LEQ=")</f>
        <v>#REF!</v>
      </c>
      <c r="BR18" t="e">
        <f>AND('Listado General'!#REF!,"AAAAAD/9LEU=")</f>
        <v>#REF!</v>
      </c>
      <c r="BS18" t="e">
        <f>AND('Listado General'!#REF!,"AAAAAD/9LEY=")</f>
        <v>#REF!</v>
      </c>
      <c r="BT18" t="e">
        <f>AND('Listado General'!#REF!,"AAAAAD/9LEc=")</f>
        <v>#REF!</v>
      </c>
      <c r="BU18" t="e">
        <f>AND('Listado General'!#REF!,"AAAAAD/9LEg=")</f>
        <v>#REF!</v>
      </c>
      <c r="BV18" t="e">
        <f>IF('Listado General'!#REF!,"AAAAAD/9LEk=",0)</f>
        <v>#REF!</v>
      </c>
      <c r="BW18" t="e">
        <f>AND('Listado General'!#REF!,"AAAAAD/9LEo=")</f>
        <v>#REF!</v>
      </c>
      <c r="BX18" t="e">
        <f>AND('Listado General'!#REF!,"AAAAAD/9LEs=")</f>
        <v>#REF!</v>
      </c>
      <c r="BY18" t="e">
        <f>AND('Listado General'!#REF!,"AAAAAD/9LEw=")</f>
        <v>#REF!</v>
      </c>
      <c r="BZ18" t="e">
        <f>AND('Listado General'!#REF!,"AAAAAD/9LE0=")</f>
        <v>#REF!</v>
      </c>
      <c r="CA18" t="e">
        <f>AND('Listado General'!#REF!,"AAAAAD/9LE4=")</f>
        <v>#REF!</v>
      </c>
      <c r="CB18" t="e">
        <f>AND('Listado General'!#REF!,"AAAAAD/9LE8=")</f>
        <v>#REF!</v>
      </c>
      <c r="CC18" t="e">
        <f>AND('Listado General'!#REF!,"AAAAAD/9LFA=")</f>
        <v>#REF!</v>
      </c>
      <c r="CD18" t="e">
        <f>AND('Listado General'!#REF!,"AAAAAD/9LFE=")</f>
        <v>#REF!</v>
      </c>
      <c r="CE18" t="e">
        <f>AND('Listado General'!#REF!,"AAAAAD/9LFI=")</f>
        <v>#REF!</v>
      </c>
      <c r="CF18" t="e">
        <f>IF('Listado General'!#REF!,"AAAAAD/9LFM=",0)</f>
        <v>#REF!</v>
      </c>
      <c r="CG18" t="e">
        <f>AND('Listado General'!#REF!,"AAAAAD/9LFQ=")</f>
        <v>#REF!</v>
      </c>
      <c r="CH18" t="e">
        <f>AND('Listado General'!#REF!,"AAAAAD/9LFU=")</f>
        <v>#REF!</v>
      </c>
      <c r="CI18" t="e">
        <f>AND('Listado General'!#REF!,"AAAAAD/9LFY=")</f>
        <v>#REF!</v>
      </c>
      <c r="CJ18" t="e">
        <f>AND('Listado General'!#REF!,"AAAAAD/9LFc=")</f>
        <v>#REF!</v>
      </c>
      <c r="CK18" t="e">
        <f>AND('Listado General'!#REF!,"AAAAAD/9LFg=")</f>
        <v>#REF!</v>
      </c>
      <c r="CL18" t="e">
        <f>AND('Listado General'!#REF!,"AAAAAD/9LFk=")</f>
        <v>#REF!</v>
      </c>
      <c r="CM18" t="e">
        <f>AND('Listado General'!#REF!,"AAAAAD/9LFo=")</f>
        <v>#REF!</v>
      </c>
      <c r="CN18" t="e">
        <f>AND('Listado General'!#REF!,"AAAAAD/9LFs=")</f>
        <v>#REF!</v>
      </c>
      <c r="CO18" t="e">
        <f>AND('Listado General'!#REF!,"AAAAAD/9LFw=")</f>
        <v>#REF!</v>
      </c>
      <c r="CP18" t="e">
        <f>IF('Listado General'!#REF!,"AAAAAD/9LF0=",0)</f>
        <v>#REF!</v>
      </c>
      <c r="CQ18" t="e">
        <f>AND('Listado General'!#REF!,"AAAAAD/9LF4=")</f>
        <v>#REF!</v>
      </c>
      <c r="CR18" t="e">
        <f>AND('Listado General'!#REF!,"AAAAAD/9LF8=")</f>
        <v>#REF!</v>
      </c>
      <c r="CS18" t="e">
        <f>AND('Listado General'!#REF!,"AAAAAD/9LGA=")</f>
        <v>#REF!</v>
      </c>
      <c r="CT18" t="e">
        <f>AND('Listado General'!#REF!,"AAAAAD/9LGE=")</f>
        <v>#REF!</v>
      </c>
      <c r="CU18" t="e">
        <f>AND('Listado General'!#REF!,"AAAAAD/9LGI=")</f>
        <v>#REF!</v>
      </c>
      <c r="CV18" t="e">
        <f>AND('Listado General'!#REF!,"AAAAAD/9LGM=")</f>
        <v>#REF!</v>
      </c>
      <c r="CW18" t="e">
        <f>AND('Listado General'!#REF!,"AAAAAD/9LGQ=")</f>
        <v>#REF!</v>
      </c>
      <c r="CX18" t="e">
        <f>AND('Listado General'!#REF!,"AAAAAD/9LGU=")</f>
        <v>#REF!</v>
      </c>
      <c r="CY18" t="e">
        <f>AND('Listado General'!#REF!,"AAAAAD/9LGY=")</f>
        <v>#REF!</v>
      </c>
      <c r="CZ18" t="e">
        <f>IF('Listado General'!#REF!,"AAAAAD/9LGc=",0)</f>
        <v>#REF!</v>
      </c>
      <c r="DA18" t="e">
        <f>AND('Listado General'!#REF!,"AAAAAD/9LGg=")</f>
        <v>#REF!</v>
      </c>
      <c r="DB18" t="e">
        <f>AND('Listado General'!#REF!,"AAAAAD/9LGk=")</f>
        <v>#REF!</v>
      </c>
      <c r="DC18" t="e">
        <f>AND('Listado General'!#REF!,"AAAAAD/9LGo=")</f>
        <v>#REF!</v>
      </c>
      <c r="DD18" t="e">
        <f>AND('Listado General'!#REF!,"AAAAAD/9LGs=")</f>
        <v>#REF!</v>
      </c>
      <c r="DE18" t="e">
        <f>AND('Listado General'!#REF!,"AAAAAD/9LGw=")</f>
        <v>#REF!</v>
      </c>
      <c r="DF18" t="e">
        <f>AND('Listado General'!#REF!,"AAAAAD/9LG0=")</f>
        <v>#REF!</v>
      </c>
      <c r="DG18" t="e">
        <f>AND('Listado General'!#REF!,"AAAAAD/9LG4=")</f>
        <v>#REF!</v>
      </c>
      <c r="DH18" t="e">
        <f>AND('Listado General'!#REF!,"AAAAAD/9LG8=")</f>
        <v>#REF!</v>
      </c>
      <c r="DI18" t="e">
        <f>AND('Listado General'!#REF!,"AAAAAD/9LHA=")</f>
        <v>#REF!</v>
      </c>
      <c r="DJ18" t="e">
        <f>IF('Listado General'!#REF!,"AAAAAD/9LHE=",0)</f>
        <v>#REF!</v>
      </c>
      <c r="DK18" t="e">
        <f>AND('Listado General'!#REF!,"AAAAAD/9LHI=")</f>
        <v>#REF!</v>
      </c>
      <c r="DL18" t="e">
        <f>AND('Listado General'!#REF!,"AAAAAD/9LHM=")</f>
        <v>#REF!</v>
      </c>
      <c r="DM18" t="e">
        <f>AND('Listado General'!#REF!,"AAAAAD/9LHQ=")</f>
        <v>#REF!</v>
      </c>
      <c r="DN18" t="e">
        <f>AND('Listado General'!#REF!,"AAAAAD/9LHU=")</f>
        <v>#REF!</v>
      </c>
      <c r="DO18" t="e">
        <f>AND('Listado General'!#REF!,"AAAAAD/9LHY=")</f>
        <v>#REF!</v>
      </c>
      <c r="DP18" t="e">
        <f>AND('Listado General'!#REF!,"AAAAAD/9LHc=")</f>
        <v>#REF!</v>
      </c>
      <c r="DQ18" t="e">
        <f>AND('Listado General'!#REF!,"AAAAAD/9LHg=")</f>
        <v>#REF!</v>
      </c>
      <c r="DR18" t="e">
        <f>AND('Listado General'!#REF!,"AAAAAD/9LHk=")</f>
        <v>#REF!</v>
      </c>
      <c r="DS18" t="e">
        <f>AND('Listado General'!#REF!,"AAAAAD/9LHo=")</f>
        <v>#REF!</v>
      </c>
      <c r="DT18" t="e">
        <f>IF('Listado General'!#REF!,"AAAAAD/9LHs=",0)</f>
        <v>#REF!</v>
      </c>
      <c r="DU18" t="e">
        <f>AND('Listado General'!#REF!,"AAAAAD/9LHw=")</f>
        <v>#REF!</v>
      </c>
      <c r="DV18" t="e">
        <f>AND('Listado General'!#REF!,"AAAAAD/9LH0=")</f>
        <v>#REF!</v>
      </c>
      <c r="DW18" t="e">
        <f>AND('Listado General'!#REF!,"AAAAAD/9LH4=")</f>
        <v>#REF!</v>
      </c>
      <c r="DX18" t="e">
        <f>AND('Listado General'!#REF!,"AAAAAD/9LH8=")</f>
        <v>#REF!</v>
      </c>
      <c r="DY18" t="e">
        <f>AND('Listado General'!#REF!,"AAAAAD/9LIA=")</f>
        <v>#REF!</v>
      </c>
      <c r="DZ18" t="e">
        <f>AND('Listado General'!#REF!,"AAAAAD/9LIE=")</f>
        <v>#REF!</v>
      </c>
      <c r="EA18" t="e">
        <f>AND('Listado General'!#REF!,"AAAAAD/9LII=")</f>
        <v>#REF!</v>
      </c>
      <c r="EB18" t="e">
        <f>AND('Listado General'!#REF!,"AAAAAD/9LIM=")</f>
        <v>#REF!</v>
      </c>
      <c r="EC18" t="e">
        <f>AND('Listado General'!#REF!,"AAAAAD/9LIQ=")</f>
        <v>#REF!</v>
      </c>
      <c r="ED18" t="e">
        <f>IF('Listado General'!#REF!,"AAAAAD/9LIU=",0)</f>
        <v>#REF!</v>
      </c>
      <c r="EE18" t="e">
        <f>AND('Listado General'!#REF!,"AAAAAD/9LIY=")</f>
        <v>#REF!</v>
      </c>
      <c r="EF18" t="e">
        <f>AND('Listado General'!#REF!,"AAAAAD/9LIc=")</f>
        <v>#REF!</v>
      </c>
      <c r="EG18" t="e">
        <f>AND('Listado General'!#REF!,"AAAAAD/9LIg=")</f>
        <v>#REF!</v>
      </c>
      <c r="EH18" t="e">
        <f>AND('Listado General'!#REF!,"AAAAAD/9LIk=")</f>
        <v>#REF!</v>
      </c>
      <c r="EI18" t="e">
        <f>AND('Listado General'!#REF!,"AAAAAD/9LIo=")</f>
        <v>#REF!</v>
      </c>
      <c r="EJ18" t="e">
        <f>AND('Listado General'!#REF!,"AAAAAD/9LIs=")</f>
        <v>#REF!</v>
      </c>
      <c r="EK18" t="e">
        <f>AND('Listado General'!#REF!,"AAAAAD/9LIw=")</f>
        <v>#REF!</v>
      </c>
      <c r="EL18" t="e">
        <f>AND('Listado General'!#REF!,"AAAAAD/9LI0=")</f>
        <v>#REF!</v>
      </c>
      <c r="EM18" t="e">
        <f>AND('Listado General'!#REF!,"AAAAAD/9LI4=")</f>
        <v>#REF!</v>
      </c>
      <c r="EN18" t="e">
        <f>IF('Listado General'!#REF!,"AAAAAD/9LI8=",0)</f>
        <v>#REF!</v>
      </c>
      <c r="EO18" t="e">
        <f>AND('Listado General'!#REF!,"AAAAAD/9LJA=")</f>
        <v>#REF!</v>
      </c>
      <c r="EP18" t="e">
        <f>AND('Listado General'!#REF!,"AAAAAD/9LJE=")</f>
        <v>#REF!</v>
      </c>
      <c r="EQ18" t="e">
        <f>AND('Listado General'!#REF!,"AAAAAD/9LJI=")</f>
        <v>#REF!</v>
      </c>
      <c r="ER18" t="e">
        <f>AND('Listado General'!#REF!,"AAAAAD/9LJM=")</f>
        <v>#REF!</v>
      </c>
      <c r="ES18" t="e">
        <f>AND('Listado General'!#REF!,"AAAAAD/9LJQ=")</f>
        <v>#REF!</v>
      </c>
      <c r="ET18" t="e">
        <f>AND('Listado General'!#REF!,"AAAAAD/9LJU=")</f>
        <v>#REF!</v>
      </c>
      <c r="EU18" t="e">
        <f>AND('Listado General'!#REF!,"AAAAAD/9LJY=")</f>
        <v>#REF!</v>
      </c>
      <c r="EV18" t="e">
        <f>AND('Listado General'!#REF!,"AAAAAD/9LJc=")</f>
        <v>#REF!</v>
      </c>
      <c r="EW18" t="e">
        <f>AND('Listado General'!#REF!,"AAAAAD/9LJg=")</f>
        <v>#REF!</v>
      </c>
      <c r="EX18" t="e">
        <f>IF('Listado General'!#REF!,"AAAAAD/9LJk=",0)</f>
        <v>#REF!</v>
      </c>
      <c r="EY18" t="e">
        <f>AND('Listado General'!#REF!,"AAAAAD/9LJo=")</f>
        <v>#REF!</v>
      </c>
      <c r="EZ18" t="e">
        <f>AND('Listado General'!#REF!,"AAAAAD/9LJs=")</f>
        <v>#REF!</v>
      </c>
      <c r="FA18" t="e">
        <f>AND('Listado General'!#REF!,"AAAAAD/9LJw=")</f>
        <v>#REF!</v>
      </c>
      <c r="FB18" t="e">
        <f>AND('Listado General'!#REF!,"AAAAAD/9LJ0=")</f>
        <v>#REF!</v>
      </c>
      <c r="FC18" t="e">
        <f>AND('Listado General'!#REF!,"AAAAAD/9LJ4=")</f>
        <v>#REF!</v>
      </c>
      <c r="FD18" t="e">
        <f>AND('Listado General'!#REF!,"AAAAAD/9LJ8=")</f>
        <v>#REF!</v>
      </c>
      <c r="FE18" t="e">
        <f>AND('Listado General'!#REF!,"AAAAAD/9LKA=")</f>
        <v>#REF!</v>
      </c>
      <c r="FF18" t="e">
        <f>AND('Listado General'!#REF!,"AAAAAD/9LKE=")</f>
        <v>#REF!</v>
      </c>
      <c r="FG18" t="e">
        <f>AND('Listado General'!#REF!,"AAAAAD/9LKI=")</f>
        <v>#REF!</v>
      </c>
      <c r="FH18" t="e">
        <f>IF('Listado General'!#REF!,"AAAAAD/9LKM=",0)</f>
        <v>#REF!</v>
      </c>
      <c r="FI18" t="e">
        <f>AND('Listado General'!#REF!,"AAAAAD/9LKQ=")</f>
        <v>#REF!</v>
      </c>
      <c r="FJ18" t="e">
        <f>AND('Listado General'!#REF!,"AAAAAD/9LKU=")</f>
        <v>#REF!</v>
      </c>
      <c r="FK18" t="e">
        <f>AND('Listado General'!#REF!,"AAAAAD/9LKY=")</f>
        <v>#REF!</v>
      </c>
      <c r="FL18" t="e">
        <f>AND('Listado General'!#REF!,"AAAAAD/9LKc=")</f>
        <v>#REF!</v>
      </c>
      <c r="FM18" t="e">
        <f>AND('Listado General'!#REF!,"AAAAAD/9LKg=")</f>
        <v>#REF!</v>
      </c>
      <c r="FN18" t="e">
        <f>AND('Listado General'!#REF!,"AAAAAD/9LKk=")</f>
        <v>#REF!</v>
      </c>
      <c r="FO18" t="e">
        <f>AND('Listado General'!#REF!,"AAAAAD/9LKo=")</f>
        <v>#REF!</v>
      </c>
      <c r="FP18" t="e">
        <f>AND('Listado General'!#REF!,"AAAAAD/9LKs=")</f>
        <v>#REF!</v>
      </c>
      <c r="FQ18" t="e">
        <f>AND('Listado General'!#REF!,"AAAAAD/9LKw=")</f>
        <v>#REF!</v>
      </c>
      <c r="FR18" t="e">
        <f>IF('Listado General'!#REF!,"AAAAAD/9LK0=",0)</f>
        <v>#REF!</v>
      </c>
      <c r="FS18" t="e">
        <f>AND('Listado General'!#REF!,"AAAAAD/9LK4=")</f>
        <v>#REF!</v>
      </c>
      <c r="FT18" t="e">
        <f>AND('Listado General'!#REF!,"AAAAAD/9LK8=")</f>
        <v>#REF!</v>
      </c>
      <c r="FU18" t="e">
        <f>AND('Listado General'!#REF!,"AAAAAD/9LLA=")</f>
        <v>#REF!</v>
      </c>
      <c r="FV18" t="e">
        <f>AND('Listado General'!#REF!,"AAAAAD/9LLE=")</f>
        <v>#REF!</v>
      </c>
      <c r="FW18" t="e">
        <f>AND('Listado General'!#REF!,"AAAAAD/9LLI=")</f>
        <v>#REF!</v>
      </c>
      <c r="FX18" t="e">
        <f>AND('Listado General'!#REF!,"AAAAAD/9LLM=")</f>
        <v>#REF!</v>
      </c>
      <c r="FY18" t="e">
        <f>AND('Listado General'!#REF!,"AAAAAD/9LLQ=")</f>
        <v>#REF!</v>
      </c>
      <c r="FZ18" t="e">
        <f>AND('Listado General'!#REF!,"AAAAAD/9LLU=")</f>
        <v>#REF!</v>
      </c>
      <c r="GA18" t="e">
        <f>AND('Listado General'!#REF!,"AAAAAD/9LLY=")</f>
        <v>#REF!</v>
      </c>
      <c r="GB18" t="e">
        <f>IF('Listado General'!#REF!,"AAAAAD/9LLc=",0)</f>
        <v>#REF!</v>
      </c>
      <c r="GC18" t="e">
        <f>AND('Listado General'!#REF!,"AAAAAD/9LLg=")</f>
        <v>#REF!</v>
      </c>
      <c r="GD18" t="e">
        <f>AND('Listado General'!#REF!,"AAAAAD/9LLk=")</f>
        <v>#REF!</v>
      </c>
      <c r="GE18" t="e">
        <f>AND('Listado General'!#REF!,"AAAAAD/9LLo=")</f>
        <v>#REF!</v>
      </c>
      <c r="GF18" t="e">
        <f>AND('Listado General'!#REF!,"AAAAAD/9LLs=")</f>
        <v>#REF!</v>
      </c>
      <c r="GG18" t="e">
        <f>AND('Listado General'!#REF!,"AAAAAD/9LLw=")</f>
        <v>#REF!</v>
      </c>
      <c r="GH18" t="e">
        <f>AND('Listado General'!#REF!,"AAAAAD/9LL0=")</f>
        <v>#REF!</v>
      </c>
      <c r="GI18" t="e">
        <f>AND('Listado General'!#REF!,"AAAAAD/9LL4=")</f>
        <v>#REF!</v>
      </c>
      <c r="GJ18" t="e">
        <f>AND('Listado General'!#REF!,"AAAAAD/9LL8=")</f>
        <v>#REF!</v>
      </c>
      <c r="GK18" t="e">
        <f>AND('Listado General'!#REF!,"AAAAAD/9LMA=")</f>
        <v>#REF!</v>
      </c>
      <c r="GL18" t="e">
        <f>IF('Listado General'!#REF!,"AAAAAD/9LME=",0)</f>
        <v>#REF!</v>
      </c>
      <c r="GM18" t="e">
        <f>AND('Listado General'!#REF!,"AAAAAD/9LMI=")</f>
        <v>#REF!</v>
      </c>
      <c r="GN18" t="e">
        <f>AND('Listado General'!#REF!,"AAAAAD/9LMM=")</f>
        <v>#REF!</v>
      </c>
      <c r="GO18" t="e">
        <f>AND('Listado General'!#REF!,"AAAAAD/9LMQ=")</f>
        <v>#REF!</v>
      </c>
      <c r="GP18" t="e">
        <f>AND('Listado General'!#REF!,"AAAAAD/9LMU=")</f>
        <v>#REF!</v>
      </c>
      <c r="GQ18" t="e">
        <f>AND('Listado General'!#REF!,"AAAAAD/9LMY=")</f>
        <v>#REF!</v>
      </c>
      <c r="GR18" t="e">
        <f>AND('Listado General'!#REF!,"AAAAAD/9LMc=")</f>
        <v>#REF!</v>
      </c>
      <c r="GS18" t="e">
        <f>AND('Listado General'!#REF!,"AAAAAD/9LMg=")</f>
        <v>#REF!</v>
      </c>
      <c r="GT18" t="e">
        <f>AND('Listado General'!#REF!,"AAAAAD/9LMk=")</f>
        <v>#REF!</v>
      </c>
      <c r="GU18" t="e">
        <f>AND('Listado General'!#REF!,"AAAAAD/9LMo=")</f>
        <v>#REF!</v>
      </c>
      <c r="GV18" t="e">
        <f>IF('Listado General'!#REF!,"AAAAAD/9LMs=",0)</f>
        <v>#REF!</v>
      </c>
      <c r="GW18" t="e">
        <f>AND('Listado General'!#REF!,"AAAAAD/9LMw=")</f>
        <v>#REF!</v>
      </c>
      <c r="GX18" t="e">
        <f>AND('Listado General'!#REF!,"AAAAAD/9LM0=")</f>
        <v>#REF!</v>
      </c>
      <c r="GY18" t="e">
        <f>AND('Listado General'!#REF!,"AAAAAD/9LM4=")</f>
        <v>#REF!</v>
      </c>
      <c r="GZ18" t="e">
        <f>AND('Listado General'!#REF!,"AAAAAD/9LM8=")</f>
        <v>#REF!</v>
      </c>
      <c r="HA18" t="e">
        <f>AND('Listado General'!#REF!,"AAAAAD/9LNA=")</f>
        <v>#REF!</v>
      </c>
      <c r="HB18" t="e">
        <f>AND('Listado General'!#REF!,"AAAAAD/9LNE=")</f>
        <v>#REF!</v>
      </c>
      <c r="HC18" t="e">
        <f>AND('Listado General'!#REF!,"AAAAAD/9LNI=")</f>
        <v>#REF!</v>
      </c>
      <c r="HD18" t="e">
        <f>AND('Listado General'!#REF!,"AAAAAD/9LNM=")</f>
        <v>#REF!</v>
      </c>
      <c r="HE18" t="e">
        <f>AND('Listado General'!#REF!,"AAAAAD/9LNQ=")</f>
        <v>#REF!</v>
      </c>
      <c r="HF18" t="e">
        <f>IF('Listado General'!#REF!,"AAAAAD/9LNU=",0)</f>
        <v>#REF!</v>
      </c>
      <c r="HG18" t="e">
        <f>AND('Listado General'!#REF!,"AAAAAD/9LNY=")</f>
        <v>#REF!</v>
      </c>
      <c r="HH18" t="e">
        <f>AND('Listado General'!#REF!,"AAAAAD/9LNc=")</f>
        <v>#REF!</v>
      </c>
      <c r="HI18" t="e">
        <f>AND('Listado General'!#REF!,"AAAAAD/9LNg=")</f>
        <v>#REF!</v>
      </c>
      <c r="HJ18" t="e">
        <f>AND('Listado General'!#REF!,"AAAAAD/9LNk=")</f>
        <v>#REF!</v>
      </c>
      <c r="HK18" t="e">
        <f>AND('Listado General'!#REF!,"AAAAAD/9LNo=")</f>
        <v>#REF!</v>
      </c>
      <c r="HL18" t="e">
        <f>AND('Listado General'!#REF!,"AAAAAD/9LNs=")</f>
        <v>#REF!</v>
      </c>
      <c r="HM18" t="e">
        <f>AND('Listado General'!#REF!,"AAAAAD/9LNw=")</f>
        <v>#REF!</v>
      </c>
      <c r="HN18" t="e">
        <f>AND('Listado General'!#REF!,"AAAAAD/9LN0=")</f>
        <v>#REF!</v>
      </c>
      <c r="HO18" t="e">
        <f>AND('Listado General'!#REF!,"AAAAAD/9LN4=")</f>
        <v>#REF!</v>
      </c>
      <c r="HP18" t="e">
        <f>IF('Listado General'!#REF!,"AAAAAD/9LN8=",0)</f>
        <v>#REF!</v>
      </c>
      <c r="HQ18" t="e">
        <f>AND('Listado General'!#REF!,"AAAAAD/9LOA=")</f>
        <v>#REF!</v>
      </c>
      <c r="HR18" t="e">
        <f>AND('Listado General'!#REF!,"AAAAAD/9LOE=")</f>
        <v>#REF!</v>
      </c>
      <c r="HS18" t="e">
        <f>AND('Listado General'!#REF!,"AAAAAD/9LOI=")</f>
        <v>#REF!</v>
      </c>
      <c r="HT18" t="e">
        <f>AND('Listado General'!#REF!,"AAAAAD/9LOM=")</f>
        <v>#REF!</v>
      </c>
      <c r="HU18" t="e">
        <f>AND('Listado General'!#REF!,"AAAAAD/9LOQ=")</f>
        <v>#REF!</v>
      </c>
      <c r="HV18" t="e">
        <f>AND('Listado General'!#REF!,"AAAAAD/9LOU=")</f>
        <v>#REF!</v>
      </c>
      <c r="HW18" t="e">
        <f>AND('Listado General'!#REF!,"AAAAAD/9LOY=")</f>
        <v>#REF!</v>
      </c>
      <c r="HX18" t="e">
        <f>AND('Listado General'!#REF!,"AAAAAD/9LOc=")</f>
        <v>#REF!</v>
      </c>
      <c r="HY18" t="e">
        <f>AND('Listado General'!#REF!,"AAAAAD/9LOg=")</f>
        <v>#REF!</v>
      </c>
      <c r="HZ18" t="e">
        <f>IF('Listado General'!#REF!,"AAAAAD/9LOk=",0)</f>
        <v>#REF!</v>
      </c>
      <c r="IA18" t="e">
        <f>AND('Listado General'!#REF!,"AAAAAD/9LOo=")</f>
        <v>#REF!</v>
      </c>
      <c r="IB18" t="e">
        <f>AND('Listado General'!#REF!,"AAAAAD/9LOs=")</f>
        <v>#REF!</v>
      </c>
      <c r="IC18" t="e">
        <f>AND('Listado General'!#REF!,"AAAAAD/9LOw=")</f>
        <v>#REF!</v>
      </c>
      <c r="ID18" t="e">
        <f>AND('Listado General'!#REF!,"AAAAAD/9LO0=")</f>
        <v>#REF!</v>
      </c>
      <c r="IE18" t="e">
        <f>AND('Listado General'!#REF!,"AAAAAD/9LO4=")</f>
        <v>#REF!</v>
      </c>
      <c r="IF18" t="e">
        <f>AND('Listado General'!#REF!,"AAAAAD/9LO8=")</f>
        <v>#REF!</v>
      </c>
      <c r="IG18" t="e">
        <f>AND('Listado General'!#REF!,"AAAAAD/9LPA=")</f>
        <v>#REF!</v>
      </c>
      <c r="IH18" t="e">
        <f>AND('Listado General'!#REF!,"AAAAAD/9LPE=")</f>
        <v>#REF!</v>
      </c>
      <c r="II18" t="e">
        <f>AND('Listado General'!#REF!,"AAAAAD/9LPI=")</f>
        <v>#REF!</v>
      </c>
      <c r="IJ18" t="e">
        <f>IF('Listado General'!#REF!,"AAAAAD/9LPM=",0)</f>
        <v>#REF!</v>
      </c>
      <c r="IK18" t="e">
        <f>AND('Listado General'!#REF!,"AAAAAD/9LPQ=")</f>
        <v>#REF!</v>
      </c>
      <c r="IL18" t="e">
        <f>AND('Listado General'!#REF!,"AAAAAD/9LPU=")</f>
        <v>#REF!</v>
      </c>
      <c r="IM18" t="e">
        <f>AND('Listado General'!#REF!,"AAAAAD/9LPY=")</f>
        <v>#REF!</v>
      </c>
      <c r="IN18" t="e">
        <f>AND('Listado General'!#REF!,"AAAAAD/9LPc=")</f>
        <v>#REF!</v>
      </c>
      <c r="IO18" t="e">
        <f>AND('Listado General'!#REF!,"AAAAAD/9LPg=")</f>
        <v>#REF!</v>
      </c>
      <c r="IP18" t="e">
        <f>AND('Listado General'!#REF!,"AAAAAD/9LPk=")</f>
        <v>#REF!</v>
      </c>
      <c r="IQ18" t="e">
        <f>AND('Listado General'!#REF!,"AAAAAD/9LPo=")</f>
        <v>#REF!</v>
      </c>
      <c r="IR18" t="e">
        <f>AND('Listado General'!#REF!,"AAAAAD/9LPs=")</f>
        <v>#REF!</v>
      </c>
      <c r="IS18" t="e">
        <f>AND('Listado General'!#REF!,"AAAAAD/9LPw=")</f>
        <v>#REF!</v>
      </c>
      <c r="IT18" t="e">
        <f>IF('Listado General'!#REF!,"AAAAAD/9LP0=",0)</f>
        <v>#REF!</v>
      </c>
      <c r="IU18" t="e">
        <f>AND('Listado General'!#REF!,"AAAAAD/9LP4=")</f>
        <v>#REF!</v>
      </c>
      <c r="IV18" t="e">
        <f>AND('Listado General'!#REF!,"AAAAAD/9LP8=")</f>
        <v>#REF!</v>
      </c>
    </row>
    <row r="19" spans="1:256" ht="12.75">
      <c r="A19" t="e">
        <f>AND('Listado General'!#REF!,"AAAAABP/vgA=")</f>
        <v>#REF!</v>
      </c>
      <c r="B19" t="e">
        <f>AND('Listado General'!#REF!,"AAAAABP/vgE=")</f>
        <v>#REF!</v>
      </c>
      <c r="C19" t="e">
        <f>AND('Listado General'!#REF!,"AAAAABP/vgI=")</f>
        <v>#REF!</v>
      </c>
      <c r="D19" t="e">
        <f>AND('Listado General'!#REF!,"AAAAABP/vgM=")</f>
        <v>#REF!</v>
      </c>
      <c r="E19" t="e">
        <f>AND('Listado General'!#REF!,"AAAAABP/vgQ=")</f>
        <v>#REF!</v>
      </c>
      <c r="F19" t="e">
        <f>AND('Listado General'!#REF!,"AAAAABP/vgU=")</f>
        <v>#REF!</v>
      </c>
      <c r="G19" t="e">
        <f>AND('Listado General'!#REF!,"AAAAABP/vgY=")</f>
        <v>#REF!</v>
      </c>
      <c r="H19" t="e">
        <f>IF('Listado General'!#REF!,"AAAAABP/vgc=",0)</f>
        <v>#REF!</v>
      </c>
      <c r="I19" t="e">
        <f>AND('Listado General'!#REF!,"AAAAABP/vgg=")</f>
        <v>#REF!</v>
      </c>
      <c r="J19" t="e">
        <f>AND('Listado General'!#REF!,"AAAAABP/vgk=")</f>
        <v>#REF!</v>
      </c>
      <c r="K19" t="e">
        <f>AND('Listado General'!#REF!,"AAAAABP/vgo=")</f>
        <v>#REF!</v>
      </c>
      <c r="L19" t="e">
        <f>AND('Listado General'!#REF!,"AAAAABP/vgs=")</f>
        <v>#REF!</v>
      </c>
      <c r="M19" t="e">
        <f>AND('Listado General'!#REF!,"AAAAABP/vgw=")</f>
        <v>#REF!</v>
      </c>
      <c r="N19" t="e">
        <f>AND('Listado General'!#REF!,"AAAAABP/vg0=")</f>
        <v>#REF!</v>
      </c>
      <c r="O19" t="e">
        <f>AND('Listado General'!#REF!,"AAAAABP/vg4=")</f>
        <v>#REF!</v>
      </c>
      <c r="P19" t="e">
        <f>AND('Listado General'!#REF!,"AAAAABP/vg8=")</f>
        <v>#REF!</v>
      </c>
      <c r="Q19" t="e">
        <f>AND('Listado General'!#REF!,"AAAAABP/vhA=")</f>
        <v>#REF!</v>
      </c>
      <c r="R19" t="e">
        <f>IF('Listado General'!#REF!,"AAAAABP/vhE=",0)</f>
        <v>#REF!</v>
      </c>
      <c r="S19" t="e">
        <f>AND('Listado General'!#REF!,"AAAAABP/vhI=")</f>
        <v>#REF!</v>
      </c>
      <c r="T19" t="e">
        <f>AND('Listado General'!#REF!,"AAAAABP/vhM=")</f>
        <v>#REF!</v>
      </c>
      <c r="U19" t="e">
        <f>AND('Listado General'!#REF!,"AAAAABP/vhQ=")</f>
        <v>#REF!</v>
      </c>
      <c r="V19" t="e">
        <f>AND('Listado General'!#REF!,"AAAAABP/vhU=")</f>
        <v>#REF!</v>
      </c>
      <c r="W19" t="e">
        <f>AND('Listado General'!#REF!,"AAAAABP/vhY=")</f>
        <v>#REF!</v>
      </c>
      <c r="X19" t="e">
        <f>AND('Listado General'!#REF!,"AAAAABP/vhc=")</f>
        <v>#REF!</v>
      </c>
      <c r="Y19" t="e">
        <f>AND('Listado General'!#REF!,"AAAAABP/vhg=")</f>
        <v>#REF!</v>
      </c>
      <c r="Z19" t="e">
        <f>AND('Listado General'!#REF!,"AAAAABP/vhk=")</f>
        <v>#REF!</v>
      </c>
      <c r="AA19" t="e">
        <f>AND('Listado General'!#REF!,"AAAAABP/vho=")</f>
        <v>#REF!</v>
      </c>
      <c r="AB19" t="e">
        <f>IF('Listado General'!#REF!,"AAAAABP/vhs=",0)</f>
        <v>#REF!</v>
      </c>
      <c r="AC19" t="e">
        <f>AND('Listado General'!#REF!,"AAAAABP/vhw=")</f>
        <v>#REF!</v>
      </c>
      <c r="AD19" t="e">
        <f>AND('Listado General'!#REF!,"AAAAABP/vh0=")</f>
        <v>#REF!</v>
      </c>
      <c r="AE19" t="e">
        <f>AND('Listado General'!#REF!,"AAAAABP/vh4=")</f>
        <v>#REF!</v>
      </c>
      <c r="AF19" t="e">
        <f>AND('Listado General'!#REF!,"AAAAABP/vh8=")</f>
        <v>#REF!</v>
      </c>
      <c r="AG19" t="e">
        <f>AND('Listado General'!#REF!,"AAAAABP/viA=")</f>
        <v>#REF!</v>
      </c>
      <c r="AH19" t="e">
        <f>AND('Listado General'!#REF!,"AAAAABP/viE=")</f>
        <v>#REF!</v>
      </c>
      <c r="AI19" t="e">
        <f>AND('Listado General'!#REF!,"AAAAABP/viI=")</f>
        <v>#REF!</v>
      </c>
      <c r="AJ19" t="e">
        <f>AND('Listado General'!#REF!,"AAAAABP/viM=")</f>
        <v>#REF!</v>
      </c>
      <c r="AK19" t="e">
        <f>AND('Listado General'!#REF!,"AAAAABP/viQ=")</f>
        <v>#REF!</v>
      </c>
      <c r="AL19" t="e">
        <f>IF('Listado General'!#REF!,"AAAAABP/viU=",0)</f>
        <v>#REF!</v>
      </c>
      <c r="AM19" t="e">
        <f>AND('Listado General'!#REF!,"AAAAABP/viY=")</f>
        <v>#REF!</v>
      </c>
      <c r="AN19" t="e">
        <f>AND('Listado General'!#REF!,"AAAAABP/vic=")</f>
        <v>#REF!</v>
      </c>
      <c r="AO19" t="e">
        <f>AND('Listado General'!#REF!,"AAAAABP/vig=")</f>
        <v>#REF!</v>
      </c>
      <c r="AP19" t="e">
        <f>AND('Listado General'!#REF!,"AAAAABP/vik=")</f>
        <v>#REF!</v>
      </c>
      <c r="AQ19" t="e">
        <f>AND('Listado General'!#REF!,"AAAAABP/vio=")</f>
        <v>#REF!</v>
      </c>
      <c r="AR19" t="e">
        <f>AND('Listado General'!#REF!,"AAAAABP/vis=")</f>
        <v>#REF!</v>
      </c>
      <c r="AS19" t="e">
        <f>AND('Listado General'!#REF!,"AAAAABP/viw=")</f>
        <v>#REF!</v>
      </c>
      <c r="AT19" t="e">
        <f>AND('Listado General'!#REF!,"AAAAABP/vi0=")</f>
        <v>#REF!</v>
      </c>
      <c r="AU19" t="e">
        <f>AND('Listado General'!#REF!,"AAAAABP/vi4=")</f>
        <v>#REF!</v>
      </c>
      <c r="AV19" t="e">
        <f>IF('Listado General'!#REF!,"AAAAABP/vi8=",0)</f>
        <v>#REF!</v>
      </c>
      <c r="AW19" t="e">
        <f>AND('Listado General'!#REF!,"AAAAABP/vjA=")</f>
        <v>#REF!</v>
      </c>
      <c r="AX19" t="e">
        <f>AND('Listado General'!#REF!,"AAAAABP/vjE=")</f>
        <v>#REF!</v>
      </c>
      <c r="AY19" t="e">
        <f>AND('Listado General'!#REF!,"AAAAABP/vjI=")</f>
        <v>#REF!</v>
      </c>
      <c r="AZ19" t="e">
        <f>AND('Listado General'!#REF!,"AAAAABP/vjM=")</f>
        <v>#REF!</v>
      </c>
      <c r="BA19" t="e">
        <f>AND('Listado General'!#REF!,"AAAAABP/vjQ=")</f>
        <v>#REF!</v>
      </c>
      <c r="BB19" t="e">
        <f>AND('Listado General'!#REF!,"AAAAABP/vjU=")</f>
        <v>#REF!</v>
      </c>
      <c r="BC19" t="e">
        <f>AND('Listado General'!#REF!,"AAAAABP/vjY=")</f>
        <v>#REF!</v>
      </c>
      <c r="BD19" t="e">
        <f>AND('Listado General'!#REF!,"AAAAABP/vjc=")</f>
        <v>#REF!</v>
      </c>
      <c r="BE19" t="e">
        <f>AND('Listado General'!#REF!,"AAAAABP/vjg=")</f>
        <v>#REF!</v>
      </c>
      <c r="BF19" t="e">
        <f>IF('Listado General'!#REF!,"AAAAABP/vjk=",0)</f>
        <v>#REF!</v>
      </c>
      <c r="BG19" t="e">
        <f>AND('Listado General'!#REF!,"AAAAABP/vjo=")</f>
        <v>#REF!</v>
      </c>
      <c r="BH19" t="e">
        <f>AND('Listado General'!#REF!,"AAAAABP/vjs=")</f>
        <v>#REF!</v>
      </c>
      <c r="BI19" t="e">
        <f>AND('Listado General'!#REF!,"AAAAABP/vjw=")</f>
        <v>#REF!</v>
      </c>
      <c r="BJ19" t="e">
        <f>AND('Listado General'!#REF!,"AAAAABP/vj0=")</f>
        <v>#REF!</v>
      </c>
      <c r="BK19" t="e">
        <f>AND('Listado General'!#REF!,"AAAAABP/vj4=")</f>
        <v>#REF!</v>
      </c>
      <c r="BL19" t="e">
        <f>AND('Listado General'!#REF!,"AAAAABP/vj8=")</f>
        <v>#REF!</v>
      </c>
      <c r="BM19" t="e">
        <f>AND('Listado General'!#REF!,"AAAAABP/vkA=")</f>
        <v>#REF!</v>
      </c>
      <c r="BN19" t="e">
        <f>AND('Listado General'!#REF!,"AAAAABP/vkE=")</f>
        <v>#REF!</v>
      </c>
      <c r="BO19" t="e">
        <f>AND('Listado General'!#REF!,"AAAAABP/vkI=")</f>
        <v>#REF!</v>
      </c>
      <c r="BP19" t="e">
        <f>IF('Listado General'!#REF!,"AAAAABP/vkM=",0)</f>
        <v>#REF!</v>
      </c>
      <c r="BQ19" t="e">
        <f>AND('Listado General'!#REF!,"AAAAABP/vkQ=")</f>
        <v>#REF!</v>
      </c>
      <c r="BR19" t="e">
        <f>AND('Listado General'!#REF!,"AAAAABP/vkU=")</f>
        <v>#REF!</v>
      </c>
      <c r="BS19" t="e">
        <f>AND('Listado General'!#REF!,"AAAAABP/vkY=")</f>
        <v>#REF!</v>
      </c>
      <c r="BT19" t="e">
        <f>AND('Listado General'!#REF!,"AAAAABP/vkc=")</f>
        <v>#REF!</v>
      </c>
      <c r="BU19" t="e">
        <f>AND('Listado General'!#REF!,"AAAAABP/vkg=")</f>
        <v>#REF!</v>
      </c>
      <c r="BV19" t="e">
        <f>AND('Listado General'!#REF!,"AAAAABP/vkk=")</f>
        <v>#REF!</v>
      </c>
      <c r="BW19" t="e">
        <f>AND('Listado General'!#REF!,"AAAAABP/vko=")</f>
        <v>#REF!</v>
      </c>
      <c r="BX19" t="e">
        <f>AND('Listado General'!#REF!,"AAAAABP/vks=")</f>
        <v>#REF!</v>
      </c>
      <c r="BY19" t="e">
        <f>AND('Listado General'!#REF!,"AAAAABP/vkw=")</f>
        <v>#REF!</v>
      </c>
      <c r="BZ19" t="e">
        <f>IF('Listado General'!#REF!,"AAAAABP/vk0=",0)</f>
        <v>#REF!</v>
      </c>
      <c r="CA19" t="e">
        <f>AND('Listado General'!#REF!,"AAAAABP/vk4=")</f>
        <v>#REF!</v>
      </c>
      <c r="CB19" t="e">
        <f>AND('Listado General'!#REF!,"AAAAABP/vk8=")</f>
        <v>#REF!</v>
      </c>
      <c r="CC19" t="e">
        <f>AND('Listado General'!#REF!,"AAAAABP/vlA=")</f>
        <v>#REF!</v>
      </c>
      <c r="CD19" t="e">
        <f>AND('Listado General'!#REF!,"AAAAABP/vlE=")</f>
        <v>#REF!</v>
      </c>
      <c r="CE19" t="e">
        <f>AND('Listado General'!#REF!,"AAAAABP/vlI=")</f>
        <v>#REF!</v>
      </c>
      <c r="CF19" t="e">
        <f>AND('Listado General'!#REF!,"AAAAABP/vlM=")</f>
        <v>#REF!</v>
      </c>
      <c r="CG19" t="e">
        <f>AND('Listado General'!#REF!,"AAAAABP/vlQ=")</f>
        <v>#REF!</v>
      </c>
      <c r="CH19" t="e">
        <f>AND('Listado General'!#REF!,"AAAAABP/vlU=")</f>
        <v>#REF!</v>
      </c>
      <c r="CI19" t="e">
        <f>AND('Listado General'!#REF!,"AAAAABP/vlY=")</f>
        <v>#REF!</v>
      </c>
      <c r="CJ19" t="e">
        <f>IF('Listado General'!#REF!,"AAAAABP/vlc=",0)</f>
        <v>#REF!</v>
      </c>
      <c r="CK19" t="e">
        <f>AND('Listado General'!#REF!,"AAAAABP/vlg=")</f>
        <v>#REF!</v>
      </c>
      <c r="CL19" t="e">
        <f>AND('Listado General'!#REF!,"AAAAABP/vlk=")</f>
        <v>#REF!</v>
      </c>
      <c r="CM19" t="e">
        <f>AND('Listado General'!#REF!,"AAAAABP/vlo=")</f>
        <v>#REF!</v>
      </c>
      <c r="CN19" t="e">
        <f>AND('Listado General'!#REF!,"AAAAABP/vls=")</f>
        <v>#REF!</v>
      </c>
      <c r="CO19" t="e">
        <f>AND('Listado General'!#REF!,"AAAAABP/vlw=")</f>
        <v>#REF!</v>
      </c>
      <c r="CP19" t="e">
        <f>AND('Listado General'!#REF!,"AAAAABP/vl0=")</f>
        <v>#REF!</v>
      </c>
      <c r="CQ19" t="e">
        <f>AND('Listado General'!#REF!,"AAAAABP/vl4=")</f>
        <v>#REF!</v>
      </c>
      <c r="CR19" t="e">
        <f>AND('Listado General'!#REF!,"AAAAABP/vl8=")</f>
        <v>#REF!</v>
      </c>
      <c r="CS19" t="e">
        <f>AND('Listado General'!#REF!,"AAAAABP/vmA=")</f>
        <v>#REF!</v>
      </c>
      <c r="CT19" t="e">
        <f>IF('Listado General'!#REF!,"AAAAABP/vmE=",0)</f>
        <v>#REF!</v>
      </c>
      <c r="CU19" t="e">
        <f>AND('Listado General'!#REF!,"AAAAABP/vmI=")</f>
        <v>#REF!</v>
      </c>
      <c r="CV19" t="e">
        <f>AND('Listado General'!#REF!,"AAAAABP/vmM=")</f>
        <v>#REF!</v>
      </c>
      <c r="CW19" t="e">
        <f>AND('Listado General'!#REF!,"AAAAABP/vmQ=")</f>
        <v>#REF!</v>
      </c>
      <c r="CX19" t="e">
        <f>AND('Listado General'!#REF!,"AAAAABP/vmU=")</f>
        <v>#REF!</v>
      </c>
      <c r="CY19" t="e">
        <f>AND('Listado General'!#REF!,"AAAAABP/vmY=")</f>
        <v>#REF!</v>
      </c>
      <c r="CZ19" t="e">
        <f>AND('Listado General'!#REF!,"AAAAABP/vmc=")</f>
        <v>#REF!</v>
      </c>
      <c r="DA19" t="e">
        <f>AND('Listado General'!#REF!,"AAAAABP/vmg=")</f>
        <v>#REF!</v>
      </c>
      <c r="DB19" t="e">
        <f>AND('Listado General'!#REF!,"AAAAABP/vmk=")</f>
        <v>#REF!</v>
      </c>
      <c r="DC19" t="e">
        <f>AND('Listado General'!#REF!,"AAAAABP/vmo=")</f>
        <v>#REF!</v>
      </c>
      <c r="DD19" t="e">
        <f>IF('Listado General'!#REF!,"AAAAABP/vms=",0)</f>
        <v>#REF!</v>
      </c>
      <c r="DE19" t="e">
        <f>AND('Listado General'!#REF!,"AAAAABP/vmw=")</f>
        <v>#REF!</v>
      </c>
      <c r="DF19" t="e">
        <f>AND('Listado General'!#REF!,"AAAAABP/vm0=")</f>
        <v>#REF!</v>
      </c>
      <c r="DG19" t="e">
        <f>AND('Listado General'!#REF!,"AAAAABP/vm4=")</f>
        <v>#REF!</v>
      </c>
      <c r="DH19" t="e">
        <f>AND('Listado General'!#REF!,"AAAAABP/vm8=")</f>
        <v>#REF!</v>
      </c>
      <c r="DI19" t="e">
        <f>AND('Listado General'!#REF!,"AAAAABP/vnA=")</f>
        <v>#REF!</v>
      </c>
      <c r="DJ19" t="e">
        <f>AND('Listado General'!#REF!,"AAAAABP/vnE=")</f>
        <v>#REF!</v>
      </c>
      <c r="DK19" t="e">
        <f>AND('Listado General'!#REF!,"AAAAABP/vnI=")</f>
        <v>#REF!</v>
      </c>
      <c r="DL19" t="e">
        <f>AND('Listado General'!#REF!,"AAAAABP/vnM=")</f>
        <v>#REF!</v>
      </c>
      <c r="DM19" t="e">
        <f>AND('Listado General'!#REF!,"AAAAABP/vnQ=")</f>
        <v>#REF!</v>
      </c>
      <c r="DN19" t="e">
        <f>IF('Listado General'!#REF!,"AAAAABP/vnU=",0)</f>
        <v>#REF!</v>
      </c>
      <c r="DO19" t="e">
        <f>AND('Listado General'!#REF!,"AAAAABP/vnY=")</f>
        <v>#REF!</v>
      </c>
      <c r="DP19" t="e">
        <f>AND('Listado General'!#REF!,"AAAAABP/vnc=")</f>
        <v>#REF!</v>
      </c>
      <c r="DQ19" t="e">
        <f>AND('Listado General'!#REF!,"AAAAABP/vng=")</f>
        <v>#REF!</v>
      </c>
      <c r="DR19" t="e">
        <f>AND('Listado General'!#REF!,"AAAAABP/vnk=")</f>
        <v>#REF!</v>
      </c>
      <c r="DS19" t="e">
        <f>AND('Listado General'!#REF!,"AAAAABP/vno=")</f>
        <v>#REF!</v>
      </c>
      <c r="DT19" t="e">
        <f>AND('Listado General'!#REF!,"AAAAABP/vns=")</f>
        <v>#REF!</v>
      </c>
      <c r="DU19" t="e">
        <f>AND('Listado General'!#REF!,"AAAAABP/vnw=")</f>
        <v>#REF!</v>
      </c>
      <c r="DV19" t="e">
        <f>AND('Listado General'!#REF!,"AAAAABP/vn0=")</f>
        <v>#REF!</v>
      </c>
      <c r="DW19" t="e">
        <f>AND('Listado General'!#REF!,"AAAAABP/vn4=")</f>
        <v>#REF!</v>
      </c>
      <c r="DX19" t="e">
        <f>IF('Listado General'!#REF!,"AAAAABP/vn8=",0)</f>
        <v>#REF!</v>
      </c>
      <c r="DY19" t="e">
        <f>AND('Listado General'!#REF!,"AAAAABP/voA=")</f>
        <v>#REF!</v>
      </c>
      <c r="DZ19" t="e">
        <f>AND('Listado General'!#REF!,"AAAAABP/voE=")</f>
        <v>#REF!</v>
      </c>
      <c r="EA19" t="e">
        <f>AND('Listado General'!#REF!,"AAAAABP/voI=")</f>
        <v>#REF!</v>
      </c>
      <c r="EB19" t="e">
        <f>AND('Listado General'!#REF!,"AAAAABP/voM=")</f>
        <v>#REF!</v>
      </c>
      <c r="EC19" t="e">
        <f>AND('Listado General'!#REF!,"AAAAABP/voQ=")</f>
        <v>#REF!</v>
      </c>
      <c r="ED19" t="e">
        <f>AND('Listado General'!#REF!,"AAAAABP/voU=")</f>
        <v>#REF!</v>
      </c>
      <c r="EE19" t="e">
        <f>AND('Listado General'!#REF!,"AAAAABP/voY=")</f>
        <v>#REF!</v>
      </c>
      <c r="EF19" t="e">
        <f>AND('Listado General'!#REF!,"AAAAABP/voc=")</f>
        <v>#REF!</v>
      </c>
      <c r="EG19" t="e">
        <f>AND('Listado General'!#REF!,"AAAAABP/vog=")</f>
        <v>#REF!</v>
      </c>
      <c r="EH19" t="e">
        <f>IF('Listado General'!#REF!,"AAAAABP/vok=",0)</f>
        <v>#REF!</v>
      </c>
      <c r="EI19" t="e">
        <f>AND('Listado General'!#REF!,"AAAAABP/voo=")</f>
        <v>#REF!</v>
      </c>
      <c r="EJ19" t="e">
        <f>AND('Listado General'!#REF!,"AAAAABP/vos=")</f>
        <v>#REF!</v>
      </c>
      <c r="EK19" t="e">
        <f>AND('Listado General'!#REF!,"AAAAABP/vow=")</f>
        <v>#REF!</v>
      </c>
      <c r="EL19" t="e">
        <f>AND('Listado General'!#REF!,"AAAAABP/vo0=")</f>
        <v>#REF!</v>
      </c>
      <c r="EM19" t="e">
        <f>AND('Listado General'!#REF!,"AAAAABP/vo4=")</f>
        <v>#REF!</v>
      </c>
      <c r="EN19" t="e">
        <f>AND('Listado General'!#REF!,"AAAAABP/vo8=")</f>
        <v>#REF!</v>
      </c>
      <c r="EO19" t="e">
        <f>AND('Listado General'!#REF!,"AAAAABP/vpA=")</f>
        <v>#REF!</v>
      </c>
      <c r="EP19" t="e">
        <f>AND('Listado General'!#REF!,"AAAAABP/vpE=")</f>
        <v>#REF!</v>
      </c>
      <c r="EQ19" t="e">
        <f>AND('Listado General'!#REF!,"AAAAABP/vpI=")</f>
        <v>#REF!</v>
      </c>
      <c r="ER19" t="e">
        <f>IF('Listado General'!#REF!,"AAAAABP/vpM=",0)</f>
        <v>#REF!</v>
      </c>
      <c r="ES19" t="e">
        <f>AND('Listado General'!#REF!,"AAAAABP/vpQ=")</f>
        <v>#REF!</v>
      </c>
      <c r="ET19" t="e">
        <f>AND('Listado General'!#REF!,"AAAAABP/vpU=")</f>
        <v>#REF!</v>
      </c>
      <c r="EU19" t="e">
        <f>AND('Listado General'!#REF!,"AAAAABP/vpY=")</f>
        <v>#REF!</v>
      </c>
      <c r="EV19" t="e">
        <f>AND('Listado General'!#REF!,"AAAAABP/vpc=")</f>
        <v>#REF!</v>
      </c>
      <c r="EW19" t="e">
        <f>AND('Listado General'!#REF!,"AAAAABP/vpg=")</f>
        <v>#REF!</v>
      </c>
      <c r="EX19" t="e">
        <f>AND('Listado General'!#REF!,"AAAAABP/vpk=")</f>
        <v>#REF!</v>
      </c>
      <c r="EY19" t="e">
        <f>AND('Listado General'!#REF!,"AAAAABP/vpo=")</f>
        <v>#REF!</v>
      </c>
      <c r="EZ19" t="e">
        <f>AND('Listado General'!#REF!,"AAAAABP/vps=")</f>
        <v>#REF!</v>
      </c>
      <c r="FA19" t="e">
        <f>AND('Listado General'!#REF!,"AAAAABP/vpw=")</f>
        <v>#REF!</v>
      </c>
      <c r="FB19" t="e">
        <f>IF('Listado General'!#REF!,"AAAAABP/vp0=",0)</f>
        <v>#REF!</v>
      </c>
      <c r="FC19" t="e">
        <f>AND('Listado General'!#REF!,"AAAAABP/vp4=")</f>
        <v>#REF!</v>
      </c>
      <c r="FD19" t="e">
        <f>AND('Listado General'!#REF!,"AAAAABP/vp8=")</f>
        <v>#REF!</v>
      </c>
      <c r="FE19" t="e">
        <f>AND('Listado General'!#REF!,"AAAAABP/vqA=")</f>
        <v>#REF!</v>
      </c>
      <c r="FF19" t="e">
        <f>AND('Listado General'!#REF!,"AAAAABP/vqE=")</f>
        <v>#REF!</v>
      </c>
      <c r="FG19" t="e">
        <f>AND('Listado General'!#REF!,"AAAAABP/vqI=")</f>
        <v>#REF!</v>
      </c>
      <c r="FH19" t="e">
        <f>AND('Listado General'!#REF!,"AAAAABP/vqM=")</f>
        <v>#REF!</v>
      </c>
      <c r="FI19" t="e">
        <f>AND('Listado General'!#REF!,"AAAAABP/vqQ=")</f>
        <v>#REF!</v>
      </c>
      <c r="FJ19" t="e">
        <f>AND('Listado General'!#REF!,"AAAAABP/vqU=")</f>
        <v>#REF!</v>
      </c>
      <c r="FK19" t="e">
        <f>AND('Listado General'!#REF!,"AAAAABP/vqY=")</f>
        <v>#REF!</v>
      </c>
      <c r="FL19" t="e">
        <f>IF('Listado General'!#REF!,"AAAAABP/vqc=",0)</f>
        <v>#REF!</v>
      </c>
      <c r="FM19" t="e">
        <f>AND('Listado General'!#REF!,"AAAAABP/vqg=")</f>
        <v>#REF!</v>
      </c>
      <c r="FN19" t="e">
        <f>AND('Listado General'!#REF!,"AAAAABP/vqk=")</f>
        <v>#REF!</v>
      </c>
      <c r="FO19" t="e">
        <f>AND('Listado General'!#REF!,"AAAAABP/vqo=")</f>
        <v>#REF!</v>
      </c>
      <c r="FP19" t="e">
        <f>AND('Listado General'!#REF!,"AAAAABP/vqs=")</f>
        <v>#REF!</v>
      </c>
      <c r="FQ19" t="e">
        <f>AND('Listado General'!#REF!,"AAAAABP/vqw=")</f>
        <v>#REF!</v>
      </c>
      <c r="FR19" t="e">
        <f>AND('Listado General'!#REF!,"AAAAABP/vq0=")</f>
        <v>#REF!</v>
      </c>
      <c r="FS19" t="e">
        <f>AND('Listado General'!#REF!,"AAAAABP/vq4=")</f>
        <v>#REF!</v>
      </c>
      <c r="FT19" t="e">
        <f>AND('Listado General'!#REF!,"AAAAABP/vq8=")</f>
        <v>#REF!</v>
      </c>
      <c r="FU19" t="e">
        <f>AND('Listado General'!#REF!,"AAAAABP/vrA=")</f>
        <v>#REF!</v>
      </c>
      <c r="FV19" t="e">
        <f>IF('Listado General'!#REF!,"AAAAABP/vrE=",0)</f>
        <v>#REF!</v>
      </c>
      <c r="FW19" t="e">
        <f>AND('Listado General'!#REF!,"AAAAABP/vrI=")</f>
        <v>#REF!</v>
      </c>
      <c r="FX19" t="e">
        <f>AND('Listado General'!#REF!,"AAAAABP/vrM=")</f>
        <v>#REF!</v>
      </c>
      <c r="FY19" t="e">
        <f>AND('Listado General'!#REF!,"AAAAABP/vrQ=")</f>
        <v>#REF!</v>
      </c>
      <c r="FZ19" t="e">
        <f>AND('Listado General'!#REF!,"AAAAABP/vrU=")</f>
        <v>#REF!</v>
      </c>
      <c r="GA19" t="e">
        <f>AND('Listado General'!#REF!,"AAAAABP/vrY=")</f>
        <v>#REF!</v>
      </c>
      <c r="GB19" t="e">
        <f>AND('Listado General'!#REF!,"AAAAABP/vrc=")</f>
        <v>#REF!</v>
      </c>
      <c r="GC19" t="e">
        <f>AND('Listado General'!#REF!,"AAAAABP/vrg=")</f>
        <v>#REF!</v>
      </c>
      <c r="GD19" t="e">
        <f>AND('Listado General'!#REF!,"AAAAABP/vrk=")</f>
        <v>#REF!</v>
      </c>
      <c r="GE19" t="e">
        <f>AND('Listado General'!#REF!,"AAAAABP/vro=")</f>
        <v>#REF!</v>
      </c>
      <c r="GF19" t="e">
        <f>IF('Listado General'!#REF!,"AAAAABP/vrs=",0)</f>
        <v>#REF!</v>
      </c>
      <c r="GG19" t="e">
        <f>AND('Listado General'!#REF!,"AAAAABP/vrw=")</f>
        <v>#REF!</v>
      </c>
      <c r="GH19" t="e">
        <f>AND('Listado General'!#REF!,"AAAAABP/vr0=")</f>
        <v>#REF!</v>
      </c>
      <c r="GI19" t="e">
        <f>AND('Listado General'!#REF!,"AAAAABP/vr4=")</f>
        <v>#REF!</v>
      </c>
      <c r="GJ19" t="e">
        <f>AND('Listado General'!#REF!,"AAAAABP/vr8=")</f>
        <v>#REF!</v>
      </c>
      <c r="GK19" t="e">
        <f>AND('Listado General'!#REF!,"AAAAABP/vsA=")</f>
        <v>#REF!</v>
      </c>
      <c r="GL19" t="e">
        <f>AND('Listado General'!#REF!,"AAAAABP/vsE=")</f>
        <v>#REF!</v>
      </c>
      <c r="GM19" t="e">
        <f>AND('Listado General'!#REF!,"AAAAABP/vsI=")</f>
        <v>#REF!</v>
      </c>
      <c r="GN19" t="e">
        <f>AND('Listado General'!#REF!,"AAAAABP/vsM=")</f>
        <v>#REF!</v>
      </c>
      <c r="GO19" t="e">
        <f>AND('Listado General'!#REF!,"AAAAABP/vsQ=")</f>
        <v>#REF!</v>
      </c>
      <c r="GP19" t="e">
        <f>IF('Listado General'!#REF!,"AAAAABP/vsU=",0)</f>
        <v>#REF!</v>
      </c>
      <c r="GQ19" t="e">
        <f>AND('Listado General'!#REF!,"AAAAABP/vsY=")</f>
        <v>#REF!</v>
      </c>
      <c r="GR19" t="e">
        <f>AND('Listado General'!#REF!,"AAAAABP/vsc=")</f>
        <v>#REF!</v>
      </c>
      <c r="GS19" t="e">
        <f>AND('Listado General'!#REF!,"AAAAABP/vsg=")</f>
        <v>#REF!</v>
      </c>
      <c r="GT19" t="e">
        <f>AND('Listado General'!#REF!,"AAAAABP/vsk=")</f>
        <v>#REF!</v>
      </c>
      <c r="GU19" t="e">
        <f>AND('Listado General'!#REF!,"AAAAABP/vso=")</f>
        <v>#REF!</v>
      </c>
      <c r="GV19" t="e">
        <f>AND('Listado General'!#REF!,"AAAAABP/vss=")</f>
        <v>#REF!</v>
      </c>
      <c r="GW19" t="e">
        <f>AND('Listado General'!#REF!,"AAAAABP/vsw=")</f>
        <v>#REF!</v>
      </c>
      <c r="GX19" t="e">
        <f>AND('Listado General'!#REF!,"AAAAABP/vs0=")</f>
        <v>#REF!</v>
      </c>
      <c r="GY19" t="e">
        <f>AND('Listado General'!#REF!,"AAAAABP/vs4=")</f>
        <v>#REF!</v>
      </c>
      <c r="GZ19" t="e">
        <f>IF('Listado General'!#REF!,"AAAAABP/vs8=",0)</f>
        <v>#REF!</v>
      </c>
      <c r="HA19" t="e">
        <f>AND('Listado General'!#REF!,"AAAAABP/vtA=")</f>
        <v>#REF!</v>
      </c>
      <c r="HB19" t="e">
        <f>AND('Listado General'!#REF!,"AAAAABP/vtE=")</f>
        <v>#REF!</v>
      </c>
      <c r="HC19" t="e">
        <f>AND('Listado General'!#REF!,"AAAAABP/vtI=")</f>
        <v>#REF!</v>
      </c>
      <c r="HD19" t="e">
        <f>AND('Listado General'!#REF!,"AAAAABP/vtM=")</f>
        <v>#REF!</v>
      </c>
      <c r="HE19" t="e">
        <f>AND('Listado General'!#REF!,"AAAAABP/vtQ=")</f>
        <v>#REF!</v>
      </c>
      <c r="HF19" t="e">
        <f>AND('Listado General'!#REF!,"AAAAABP/vtU=")</f>
        <v>#REF!</v>
      </c>
      <c r="HG19" t="e">
        <f>AND('Listado General'!#REF!,"AAAAABP/vtY=")</f>
        <v>#REF!</v>
      </c>
      <c r="HH19" t="e">
        <f>AND('Listado General'!#REF!,"AAAAABP/vtc=")</f>
        <v>#REF!</v>
      </c>
      <c r="HI19" t="e">
        <f>AND('Listado General'!#REF!,"AAAAABP/vtg=")</f>
        <v>#REF!</v>
      </c>
      <c r="HJ19" t="e">
        <f>IF('Listado General'!#REF!,"AAAAABP/vtk=",0)</f>
        <v>#REF!</v>
      </c>
      <c r="HK19" t="e">
        <f>AND('Listado General'!#REF!,"AAAAABP/vto=")</f>
        <v>#REF!</v>
      </c>
      <c r="HL19" t="e">
        <f>AND('Listado General'!#REF!,"AAAAABP/vts=")</f>
        <v>#REF!</v>
      </c>
      <c r="HM19" t="e">
        <f>AND('Listado General'!#REF!,"AAAAABP/vtw=")</f>
        <v>#REF!</v>
      </c>
      <c r="HN19" t="e">
        <f>AND('Listado General'!#REF!,"AAAAABP/vt0=")</f>
        <v>#REF!</v>
      </c>
      <c r="HO19" t="e">
        <f>AND('Listado General'!#REF!,"AAAAABP/vt4=")</f>
        <v>#REF!</v>
      </c>
      <c r="HP19" t="e">
        <f>AND('Listado General'!#REF!,"AAAAABP/vt8=")</f>
        <v>#REF!</v>
      </c>
      <c r="HQ19" t="e">
        <f>AND('Listado General'!#REF!,"AAAAABP/vuA=")</f>
        <v>#REF!</v>
      </c>
      <c r="HR19" t="e">
        <f>AND('Listado General'!#REF!,"AAAAABP/vuE=")</f>
        <v>#REF!</v>
      </c>
      <c r="HS19" t="e">
        <f>AND('Listado General'!#REF!,"AAAAABP/vuI=")</f>
        <v>#REF!</v>
      </c>
      <c r="HT19" t="e">
        <f>IF('Listado General'!#REF!,"AAAAABP/vuM=",0)</f>
        <v>#REF!</v>
      </c>
      <c r="HU19" t="e">
        <f>AND('Listado General'!#REF!,"AAAAABP/vuQ=")</f>
        <v>#REF!</v>
      </c>
      <c r="HV19" t="e">
        <f>AND('Listado General'!#REF!,"AAAAABP/vuU=")</f>
        <v>#REF!</v>
      </c>
      <c r="HW19" t="e">
        <f>AND('Listado General'!#REF!,"AAAAABP/vuY=")</f>
        <v>#REF!</v>
      </c>
      <c r="HX19" t="e">
        <f>AND('Listado General'!#REF!,"AAAAABP/vuc=")</f>
        <v>#REF!</v>
      </c>
      <c r="HY19" t="e">
        <f>AND('Listado General'!#REF!,"AAAAABP/vug=")</f>
        <v>#REF!</v>
      </c>
      <c r="HZ19" t="e">
        <f>AND('Listado General'!#REF!,"AAAAABP/vuk=")</f>
        <v>#REF!</v>
      </c>
      <c r="IA19" t="e">
        <f>AND('Listado General'!#REF!,"AAAAABP/vuo=")</f>
        <v>#REF!</v>
      </c>
      <c r="IB19" t="e">
        <f>AND('Listado General'!#REF!,"AAAAABP/vus=")</f>
        <v>#REF!</v>
      </c>
      <c r="IC19" t="e">
        <f>AND('Listado General'!#REF!,"AAAAABP/vuw=")</f>
        <v>#REF!</v>
      </c>
      <c r="ID19" t="e">
        <f>IF('Listado General'!#REF!,"AAAAABP/vu0=",0)</f>
        <v>#REF!</v>
      </c>
      <c r="IE19" t="e">
        <f>AND('Listado General'!#REF!,"AAAAABP/vu4=")</f>
        <v>#REF!</v>
      </c>
      <c r="IF19" t="e">
        <f>AND('Listado General'!#REF!,"AAAAABP/vu8=")</f>
        <v>#REF!</v>
      </c>
      <c r="IG19" t="e">
        <f>AND('Listado General'!#REF!,"AAAAABP/vvA=")</f>
        <v>#REF!</v>
      </c>
      <c r="IH19" t="e">
        <f>AND('Listado General'!#REF!,"AAAAABP/vvE=")</f>
        <v>#REF!</v>
      </c>
      <c r="II19" t="e">
        <f>AND('Listado General'!#REF!,"AAAAABP/vvI=")</f>
        <v>#REF!</v>
      </c>
      <c r="IJ19" t="e">
        <f>AND('Listado General'!#REF!,"AAAAABP/vvM=")</f>
        <v>#REF!</v>
      </c>
      <c r="IK19" t="e">
        <f>AND('Listado General'!#REF!,"AAAAABP/vvQ=")</f>
        <v>#REF!</v>
      </c>
      <c r="IL19" t="e">
        <f>AND('Listado General'!#REF!,"AAAAABP/vvU=")</f>
        <v>#REF!</v>
      </c>
      <c r="IM19" t="e">
        <f>AND('Listado General'!#REF!,"AAAAABP/vvY=")</f>
        <v>#REF!</v>
      </c>
      <c r="IN19" t="e">
        <f>IF('Listado General'!#REF!,"AAAAABP/vvc=",0)</f>
        <v>#REF!</v>
      </c>
      <c r="IO19" t="e">
        <f>AND('Listado General'!#REF!,"AAAAABP/vvg=")</f>
        <v>#REF!</v>
      </c>
      <c r="IP19" t="e">
        <f>AND('Listado General'!#REF!,"AAAAABP/vvk=")</f>
        <v>#REF!</v>
      </c>
      <c r="IQ19" t="e">
        <f>AND('Listado General'!#REF!,"AAAAABP/vvo=")</f>
        <v>#REF!</v>
      </c>
      <c r="IR19" t="e">
        <f>AND('Listado General'!#REF!,"AAAAABP/vvs=")</f>
        <v>#REF!</v>
      </c>
      <c r="IS19" t="e">
        <f>AND('Listado General'!#REF!,"AAAAABP/vvw=")</f>
        <v>#REF!</v>
      </c>
      <c r="IT19" t="e">
        <f>AND('Listado General'!#REF!,"AAAAABP/vv0=")</f>
        <v>#REF!</v>
      </c>
      <c r="IU19" t="e">
        <f>AND('Listado General'!#REF!,"AAAAABP/vv4=")</f>
        <v>#REF!</v>
      </c>
      <c r="IV19" t="e">
        <f>AND('Listado General'!#REF!,"AAAAABP/vv8=")</f>
        <v>#REF!</v>
      </c>
    </row>
    <row r="20" spans="1:256" ht="12.75">
      <c r="A20" t="e">
        <f>AND('Listado General'!#REF!,"AAAAAH/f+QA=")</f>
        <v>#REF!</v>
      </c>
      <c r="B20" t="e">
        <f>IF('Listado General'!#REF!,"AAAAAH/f+QE=",0)</f>
        <v>#REF!</v>
      </c>
      <c r="C20" t="e">
        <f>AND('Listado General'!#REF!,"AAAAAH/f+QI=")</f>
        <v>#REF!</v>
      </c>
      <c r="D20" t="e">
        <f>AND('Listado General'!#REF!,"AAAAAH/f+QM=")</f>
        <v>#REF!</v>
      </c>
      <c r="E20" t="e">
        <f>AND('Listado General'!#REF!,"AAAAAH/f+QQ=")</f>
        <v>#REF!</v>
      </c>
      <c r="F20" t="e">
        <f>AND('Listado General'!#REF!,"AAAAAH/f+QU=")</f>
        <v>#REF!</v>
      </c>
      <c r="G20" t="e">
        <f>AND('Listado General'!#REF!,"AAAAAH/f+QY=")</f>
        <v>#REF!</v>
      </c>
      <c r="H20" t="e">
        <f>AND('Listado General'!#REF!,"AAAAAH/f+Qc=")</f>
        <v>#REF!</v>
      </c>
      <c r="I20" t="e">
        <f>AND('Listado General'!#REF!,"AAAAAH/f+Qg=")</f>
        <v>#REF!</v>
      </c>
      <c r="J20" t="e">
        <f>AND('Listado General'!#REF!,"AAAAAH/f+Qk=")</f>
        <v>#REF!</v>
      </c>
      <c r="K20" t="e">
        <f>AND('Listado General'!#REF!,"AAAAAH/f+Qo=")</f>
        <v>#REF!</v>
      </c>
      <c r="L20" t="e">
        <f>IF('Listado General'!#REF!,"AAAAAH/f+Qs=",0)</f>
        <v>#REF!</v>
      </c>
      <c r="M20" t="e">
        <f>AND('Listado General'!#REF!,"AAAAAH/f+Qw=")</f>
        <v>#REF!</v>
      </c>
      <c r="N20" t="e">
        <f>AND('Listado General'!#REF!,"AAAAAH/f+Q0=")</f>
        <v>#REF!</v>
      </c>
      <c r="O20" t="e">
        <f>AND('Listado General'!#REF!,"AAAAAH/f+Q4=")</f>
        <v>#REF!</v>
      </c>
      <c r="P20" t="e">
        <f>AND('Listado General'!#REF!,"AAAAAH/f+Q8=")</f>
        <v>#REF!</v>
      </c>
      <c r="Q20" t="e">
        <f>AND('Listado General'!#REF!,"AAAAAH/f+RA=")</f>
        <v>#REF!</v>
      </c>
      <c r="R20" t="e">
        <f>AND('Listado General'!#REF!,"AAAAAH/f+RE=")</f>
        <v>#REF!</v>
      </c>
      <c r="S20" t="e">
        <f>AND('Listado General'!#REF!,"AAAAAH/f+RI=")</f>
        <v>#REF!</v>
      </c>
      <c r="T20" t="e">
        <f>AND('Listado General'!#REF!,"AAAAAH/f+RM=")</f>
        <v>#REF!</v>
      </c>
      <c r="U20" t="e">
        <f>AND('Listado General'!#REF!,"AAAAAH/f+RQ=")</f>
        <v>#REF!</v>
      </c>
      <c r="V20" t="e">
        <f>IF('Listado General'!#REF!,"AAAAAH/f+RU=",0)</f>
        <v>#REF!</v>
      </c>
      <c r="W20" t="e">
        <f>AND('Listado General'!#REF!,"AAAAAH/f+RY=")</f>
        <v>#REF!</v>
      </c>
      <c r="X20" t="e">
        <f>AND('Listado General'!#REF!,"AAAAAH/f+Rc=")</f>
        <v>#REF!</v>
      </c>
      <c r="Y20" t="e">
        <f>AND('Listado General'!#REF!,"AAAAAH/f+Rg=")</f>
        <v>#REF!</v>
      </c>
      <c r="Z20" t="e">
        <f>AND('Listado General'!#REF!,"AAAAAH/f+Rk=")</f>
        <v>#REF!</v>
      </c>
      <c r="AA20" t="e">
        <f>AND('Listado General'!#REF!,"AAAAAH/f+Ro=")</f>
        <v>#REF!</v>
      </c>
      <c r="AB20" t="e">
        <f>AND('Listado General'!#REF!,"AAAAAH/f+Rs=")</f>
        <v>#REF!</v>
      </c>
      <c r="AC20" t="e">
        <f>AND('Listado General'!#REF!,"AAAAAH/f+Rw=")</f>
        <v>#REF!</v>
      </c>
      <c r="AD20" t="e">
        <f>AND('Listado General'!#REF!,"AAAAAH/f+R0=")</f>
        <v>#REF!</v>
      </c>
      <c r="AE20" t="e">
        <f>AND('Listado General'!#REF!,"AAAAAH/f+R4=")</f>
        <v>#REF!</v>
      </c>
      <c r="AF20" t="e">
        <f>IF('Listado General'!#REF!,"AAAAAH/f+R8=",0)</f>
        <v>#REF!</v>
      </c>
      <c r="AG20" t="e">
        <f>AND('Listado General'!#REF!,"AAAAAH/f+SA=")</f>
        <v>#REF!</v>
      </c>
      <c r="AH20" t="e">
        <f>AND('Listado General'!#REF!,"AAAAAH/f+SE=")</f>
        <v>#REF!</v>
      </c>
      <c r="AI20" t="e">
        <f>AND('Listado General'!#REF!,"AAAAAH/f+SI=")</f>
        <v>#REF!</v>
      </c>
      <c r="AJ20" t="e">
        <f>AND('Listado General'!#REF!,"AAAAAH/f+SM=")</f>
        <v>#REF!</v>
      </c>
      <c r="AK20" t="e">
        <f>AND('Listado General'!#REF!,"AAAAAH/f+SQ=")</f>
        <v>#REF!</v>
      </c>
      <c r="AL20" t="e">
        <f>AND('Listado General'!#REF!,"AAAAAH/f+SU=")</f>
        <v>#REF!</v>
      </c>
      <c r="AM20" t="e">
        <f>AND('Listado General'!#REF!,"AAAAAH/f+SY=")</f>
        <v>#REF!</v>
      </c>
      <c r="AN20" t="e">
        <f>AND('Listado General'!#REF!,"AAAAAH/f+Sc=")</f>
        <v>#REF!</v>
      </c>
      <c r="AO20" t="e">
        <f>AND('Listado General'!#REF!,"AAAAAH/f+Sg=")</f>
        <v>#REF!</v>
      </c>
      <c r="AP20" t="e">
        <f>IF('Listado General'!#REF!,"AAAAAH/f+Sk=",0)</f>
        <v>#REF!</v>
      </c>
      <c r="AQ20" t="e">
        <f>AND('Listado General'!#REF!,"AAAAAH/f+So=")</f>
        <v>#REF!</v>
      </c>
      <c r="AR20" t="e">
        <f>AND('Listado General'!#REF!,"AAAAAH/f+Ss=")</f>
        <v>#REF!</v>
      </c>
      <c r="AS20" t="e">
        <f>AND('Listado General'!#REF!,"AAAAAH/f+Sw=")</f>
        <v>#REF!</v>
      </c>
      <c r="AT20" t="e">
        <f>AND('Listado General'!#REF!,"AAAAAH/f+S0=")</f>
        <v>#REF!</v>
      </c>
      <c r="AU20" t="e">
        <f>AND('Listado General'!#REF!,"AAAAAH/f+S4=")</f>
        <v>#REF!</v>
      </c>
      <c r="AV20" t="e">
        <f>AND('Listado General'!#REF!,"AAAAAH/f+S8=")</f>
        <v>#REF!</v>
      </c>
      <c r="AW20" t="e">
        <f>AND('Listado General'!#REF!,"AAAAAH/f+TA=")</f>
        <v>#REF!</v>
      </c>
      <c r="AX20" t="e">
        <f>AND('Listado General'!#REF!,"AAAAAH/f+TE=")</f>
        <v>#REF!</v>
      </c>
      <c r="AY20" t="e">
        <f>AND('Listado General'!#REF!,"AAAAAH/f+TI=")</f>
        <v>#REF!</v>
      </c>
      <c r="AZ20" t="e">
        <f>IF('Listado General'!#REF!,"AAAAAH/f+TM=",0)</f>
        <v>#REF!</v>
      </c>
      <c r="BA20" t="e">
        <f>AND('Listado General'!#REF!,"AAAAAH/f+TQ=")</f>
        <v>#REF!</v>
      </c>
      <c r="BB20" t="e">
        <f>AND('Listado General'!#REF!,"AAAAAH/f+TU=")</f>
        <v>#REF!</v>
      </c>
      <c r="BC20" t="e">
        <f>AND('Listado General'!#REF!,"AAAAAH/f+TY=")</f>
        <v>#REF!</v>
      </c>
      <c r="BD20" t="e">
        <f>AND('Listado General'!#REF!,"AAAAAH/f+Tc=")</f>
        <v>#REF!</v>
      </c>
      <c r="BE20" t="e">
        <f>AND('Listado General'!#REF!,"AAAAAH/f+Tg=")</f>
        <v>#REF!</v>
      </c>
      <c r="BF20" t="e">
        <f>AND('Listado General'!#REF!,"AAAAAH/f+Tk=")</f>
        <v>#REF!</v>
      </c>
      <c r="BG20" t="e">
        <f>AND('Listado General'!#REF!,"AAAAAH/f+To=")</f>
        <v>#REF!</v>
      </c>
      <c r="BH20" t="e">
        <f>AND('Listado General'!#REF!,"AAAAAH/f+Ts=")</f>
        <v>#REF!</v>
      </c>
      <c r="BI20" t="e">
        <f>AND('Listado General'!#REF!,"AAAAAH/f+Tw=")</f>
        <v>#REF!</v>
      </c>
      <c r="BJ20" t="e">
        <f>IF('Listado General'!#REF!,"AAAAAH/f+T0=",0)</f>
        <v>#REF!</v>
      </c>
      <c r="BK20" t="e">
        <f>AND('Listado General'!#REF!,"AAAAAH/f+T4=")</f>
        <v>#REF!</v>
      </c>
      <c r="BL20" t="e">
        <f>AND('Listado General'!#REF!,"AAAAAH/f+T8=")</f>
        <v>#REF!</v>
      </c>
      <c r="BM20" t="e">
        <f>AND('Listado General'!#REF!,"AAAAAH/f+UA=")</f>
        <v>#REF!</v>
      </c>
      <c r="BN20" t="e">
        <f>AND('Listado General'!#REF!,"AAAAAH/f+UE=")</f>
        <v>#REF!</v>
      </c>
      <c r="BO20" t="e">
        <f>AND('Listado General'!#REF!,"AAAAAH/f+UI=")</f>
        <v>#REF!</v>
      </c>
      <c r="BP20" t="e">
        <f>AND('Listado General'!#REF!,"AAAAAH/f+UM=")</f>
        <v>#REF!</v>
      </c>
      <c r="BQ20" t="e">
        <f>AND('Listado General'!#REF!,"AAAAAH/f+UQ=")</f>
        <v>#REF!</v>
      </c>
      <c r="BR20" t="e">
        <f>AND('Listado General'!#REF!,"AAAAAH/f+UU=")</f>
        <v>#REF!</v>
      </c>
      <c r="BS20" t="e">
        <f>AND('Listado General'!#REF!,"AAAAAH/f+UY=")</f>
        <v>#REF!</v>
      </c>
      <c r="BT20" t="e">
        <f>IF('Listado General'!#REF!,"AAAAAH/f+Uc=",0)</f>
        <v>#REF!</v>
      </c>
      <c r="BU20" t="e">
        <f>AND('Listado General'!#REF!,"AAAAAH/f+Ug=")</f>
        <v>#REF!</v>
      </c>
      <c r="BV20" t="e">
        <f>AND('Listado General'!#REF!,"AAAAAH/f+Uk=")</f>
        <v>#REF!</v>
      </c>
      <c r="BW20" t="e">
        <f>AND('Listado General'!#REF!,"AAAAAH/f+Uo=")</f>
        <v>#REF!</v>
      </c>
      <c r="BX20" t="e">
        <f>AND('Listado General'!#REF!,"AAAAAH/f+Us=")</f>
        <v>#REF!</v>
      </c>
      <c r="BY20" t="e">
        <f>AND('Listado General'!#REF!,"AAAAAH/f+Uw=")</f>
        <v>#REF!</v>
      </c>
      <c r="BZ20" t="e">
        <f>AND('Listado General'!#REF!,"AAAAAH/f+U0=")</f>
        <v>#REF!</v>
      </c>
      <c r="CA20" t="e">
        <f>AND('Listado General'!#REF!,"AAAAAH/f+U4=")</f>
        <v>#REF!</v>
      </c>
      <c r="CB20" t="e">
        <f>AND('Listado General'!#REF!,"AAAAAH/f+U8=")</f>
        <v>#REF!</v>
      </c>
      <c r="CC20" t="e">
        <f>AND('Listado General'!#REF!,"AAAAAH/f+VA=")</f>
        <v>#REF!</v>
      </c>
      <c r="CD20" t="e">
        <f>IF('Listado General'!#REF!,"AAAAAH/f+VE=",0)</f>
        <v>#REF!</v>
      </c>
      <c r="CE20" t="e">
        <f>AND('Listado General'!#REF!,"AAAAAH/f+VI=")</f>
        <v>#REF!</v>
      </c>
      <c r="CF20" t="e">
        <f>AND('Listado General'!#REF!,"AAAAAH/f+VM=")</f>
        <v>#REF!</v>
      </c>
      <c r="CG20" t="e">
        <f>AND('Listado General'!#REF!,"AAAAAH/f+VQ=")</f>
        <v>#REF!</v>
      </c>
      <c r="CH20" t="e">
        <f>AND('Listado General'!#REF!,"AAAAAH/f+VU=")</f>
        <v>#REF!</v>
      </c>
      <c r="CI20" t="e">
        <f>AND('Listado General'!#REF!,"AAAAAH/f+VY=")</f>
        <v>#REF!</v>
      </c>
      <c r="CJ20" t="e">
        <f>AND('Listado General'!#REF!,"AAAAAH/f+Vc=")</f>
        <v>#REF!</v>
      </c>
      <c r="CK20" t="e">
        <f>AND('Listado General'!#REF!,"AAAAAH/f+Vg=")</f>
        <v>#REF!</v>
      </c>
      <c r="CL20" t="e">
        <f>AND('Listado General'!#REF!,"AAAAAH/f+Vk=")</f>
        <v>#REF!</v>
      </c>
      <c r="CM20" t="e">
        <f>AND('Listado General'!#REF!,"AAAAAH/f+Vo=")</f>
        <v>#REF!</v>
      </c>
      <c r="CN20" t="e">
        <f>IF('Listado General'!#REF!,"AAAAAH/f+Vs=",0)</f>
        <v>#REF!</v>
      </c>
      <c r="CO20" t="e">
        <f>AND('Listado General'!#REF!,"AAAAAH/f+Vw=")</f>
        <v>#REF!</v>
      </c>
      <c r="CP20" t="e">
        <f>AND('Listado General'!#REF!,"AAAAAH/f+V0=")</f>
        <v>#REF!</v>
      </c>
      <c r="CQ20" t="e">
        <f>AND('Listado General'!#REF!,"AAAAAH/f+V4=")</f>
        <v>#REF!</v>
      </c>
      <c r="CR20" t="e">
        <f>AND('Listado General'!#REF!,"AAAAAH/f+V8=")</f>
        <v>#REF!</v>
      </c>
      <c r="CS20" t="e">
        <f>AND('Listado General'!#REF!,"AAAAAH/f+WA=")</f>
        <v>#REF!</v>
      </c>
      <c r="CT20" t="e">
        <f>AND('Listado General'!#REF!,"AAAAAH/f+WE=")</f>
        <v>#REF!</v>
      </c>
      <c r="CU20" t="e">
        <f>AND('Listado General'!#REF!,"AAAAAH/f+WI=")</f>
        <v>#REF!</v>
      </c>
      <c r="CV20" t="e">
        <f>AND('Listado General'!#REF!,"AAAAAH/f+WM=")</f>
        <v>#REF!</v>
      </c>
      <c r="CW20" t="e">
        <f>AND('Listado General'!#REF!,"AAAAAH/f+WQ=")</f>
        <v>#REF!</v>
      </c>
      <c r="CX20" t="e">
        <f>IF('Listado General'!#REF!,"AAAAAH/f+WU=",0)</f>
        <v>#REF!</v>
      </c>
      <c r="CY20" t="e">
        <f>AND('Listado General'!#REF!,"AAAAAH/f+WY=")</f>
        <v>#REF!</v>
      </c>
      <c r="CZ20" t="e">
        <f>AND('Listado General'!#REF!,"AAAAAH/f+Wc=")</f>
        <v>#REF!</v>
      </c>
      <c r="DA20" t="e">
        <f>AND('Listado General'!#REF!,"AAAAAH/f+Wg=")</f>
        <v>#REF!</v>
      </c>
      <c r="DB20" t="e">
        <f>AND('Listado General'!#REF!,"AAAAAH/f+Wk=")</f>
        <v>#REF!</v>
      </c>
      <c r="DC20" t="e">
        <f>AND('Listado General'!#REF!,"AAAAAH/f+Wo=")</f>
        <v>#REF!</v>
      </c>
      <c r="DD20" t="e">
        <f>AND('Listado General'!#REF!,"AAAAAH/f+Ws=")</f>
        <v>#REF!</v>
      </c>
      <c r="DE20" t="e">
        <f>AND('Listado General'!#REF!,"AAAAAH/f+Ww=")</f>
        <v>#REF!</v>
      </c>
      <c r="DF20" t="e">
        <f>AND('Listado General'!#REF!,"AAAAAH/f+W0=")</f>
        <v>#REF!</v>
      </c>
      <c r="DG20" t="e">
        <f>AND('Listado General'!#REF!,"AAAAAH/f+W4=")</f>
        <v>#REF!</v>
      </c>
      <c r="DH20" t="e">
        <f>IF('Listado General'!#REF!,"AAAAAH/f+W8=",0)</f>
        <v>#REF!</v>
      </c>
      <c r="DI20" t="e">
        <f>AND('Listado General'!#REF!,"AAAAAH/f+XA=")</f>
        <v>#REF!</v>
      </c>
      <c r="DJ20" t="e">
        <f>AND('Listado General'!#REF!,"AAAAAH/f+XE=")</f>
        <v>#REF!</v>
      </c>
      <c r="DK20" t="e">
        <f>AND('Listado General'!#REF!,"AAAAAH/f+XI=")</f>
        <v>#REF!</v>
      </c>
      <c r="DL20" t="e">
        <f>AND('Listado General'!#REF!,"AAAAAH/f+XM=")</f>
        <v>#REF!</v>
      </c>
      <c r="DM20" t="e">
        <f>AND('Listado General'!#REF!,"AAAAAH/f+XQ=")</f>
        <v>#REF!</v>
      </c>
      <c r="DN20" t="e">
        <f>AND('Listado General'!#REF!,"AAAAAH/f+XU=")</f>
        <v>#REF!</v>
      </c>
      <c r="DO20" t="e">
        <f>AND('Listado General'!#REF!,"AAAAAH/f+XY=")</f>
        <v>#REF!</v>
      </c>
      <c r="DP20" t="e">
        <f>AND('Listado General'!#REF!,"AAAAAH/f+Xc=")</f>
        <v>#REF!</v>
      </c>
      <c r="DQ20" t="e">
        <f>AND('Listado General'!#REF!,"AAAAAH/f+Xg=")</f>
        <v>#REF!</v>
      </c>
      <c r="DR20" t="e">
        <f>IF('Listado General'!#REF!,"AAAAAH/f+Xk=",0)</f>
        <v>#REF!</v>
      </c>
      <c r="DS20" t="e">
        <f>AND('Listado General'!#REF!,"AAAAAH/f+Xo=")</f>
        <v>#REF!</v>
      </c>
      <c r="DT20" t="e">
        <f>AND('Listado General'!#REF!,"AAAAAH/f+Xs=")</f>
        <v>#REF!</v>
      </c>
      <c r="DU20" t="e">
        <f>AND('Listado General'!#REF!,"AAAAAH/f+Xw=")</f>
        <v>#REF!</v>
      </c>
      <c r="DV20" t="e">
        <f>AND('Listado General'!#REF!,"AAAAAH/f+X0=")</f>
        <v>#REF!</v>
      </c>
      <c r="DW20" t="e">
        <f>AND('Listado General'!#REF!,"AAAAAH/f+X4=")</f>
        <v>#REF!</v>
      </c>
      <c r="DX20" t="e">
        <f>AND('Listado General'!#REF!,"AAAAAH/f+X8=")</f>
        <v>#REF!</v>
      </c>
      <c r="DY20" t="e">
        <f>AND('Listado General'!#REF!,"AAAAAH/f+YA=")</f>
        <v>#REF!</v>
      </c>
      <c r="DZ20" t="e">
        <f>AND('Listado General'!#REF!,"AAAAAH/f+YE=")</f>
        <v>#REF!</v>
      </c>
      <c r="EA20" t="e">
        <f>AND('Listado General'!#REF!,"AAAAAH/f+YI=")</f>
        <v>#REF!</v>
      </c>
      <c r="EB20" t="e">
        <f>IF('Listado General'!#REF!,"AAAAAH/f+YM=",0)</f>
        <v>#REF!</v>
      </c>
      <c r="EC20" t="e">
        <f>AND('Listado General'!#REF!,"AAAAAH/f+YQ=")</f>
        <v>#REF!</v>
      </c>
      <c r="ED20" t="e">
        <f>AND('Listado General'!#REF!,"AAAAAH/f+YU=")</f>
        <v>#REF!</v>
      </c>
      <c r="EE20" t="e">
        <f>AND('Listado General'!#REF!,"AAAAAH/f+YY=")</f>
        <v>#REF!</v>
      </c>
      <c r="EF20" t="e">
        <f>AND('Listado General'!#REF!,"AAAAAH/f+Yc=")</f>
        <v>#REF!</v>
      </c>
      <c r="EG20" t="e">
        <f>AND('Listado General'!#REF!,"AAAAAH/f+Yg=")</f>
        <v>#REF!</v>
      </c>
      <c r="EH20" t="e">
        <f>AND('Listado General'!#REF!,"AAAAAH/f+Yk=")</f>
        <v>#REF!</v>
      </c>
      <c r="EI20" t="e">
        <f>AND('Listado General'!#REF!,"AAAAAH/f+Yo=")</f>
        <v>#REF!</v>
      </c>
      <c r="EJ20" t="e">
        <f>AND('Listado General'!#REF!,"AAAAAH/f+Ys=")</f>
        <v>#REF!</v>
      </c>
      <c r="EK20" t="e">
        <f>AND('Listado General'!#REF!,"AAAAAH/f+Yw=")</f>
        <v>#REF!</v>
      </c>
      <c r="EL20" t="e">
        <f>IF('Listado General'!#REF!,"AAAAAH/f+Y0=",0)</f>
        <v>#REF!</v>
      </c>
      <c r="EM20" t="e">
        <f>AND('Listado General'!#REF!,"AAAAAH/f+Y4=")</f>
        <v>#REF!</v>
      </c>
      <c r="EN20" t="e">
        <f>AND('Listado General'!#REF!,"AAAAAH/f+Y8=")</f>
        <v>#REF!</v>
      </c>
      <c r="EO20" t="e">
        <f>AND('Listado General'!#REF!,"AAAAAH/f+ZA=")</f>
        <v>#REF!</v>
      </c>
      <c r="EP20" t="e">
        <f>AND('Listado General'!#REF!,"AAAAAH/f+ZE=")</f>
        <v>#REF!</v>
      </c>
      <c r="EQ20" t="e">
        <f>AND('Listado General'!#REF!,"AAAAAH/f+ZI=")</f>
        <v>#REF!</v>
      </c>
      <c r="ER20" t="e">
        <f>AND('Listado General'!#REF!,"AAAAAH/f+ZM=")</f>
        <v>#REF!</v>
      </c>
      <c r="ES20" t="e">
        <f>AND('Listado General'!#REF!,"AAAAAH/f+ZQ=")</f>
        <v>#REF!</v>
      </c>
      <c r="ET20" t="e">
        <f>AND('Listado General'!#REF!,"AAAAAH/f+ZU=")</f>
        <v>#REF!</v>
      </c>
      <c r="EU20" t="e">
        <f>AND('Listado General'!#REF!,"AAAAAH/f+ZY=")</f>
        <v>#REF!</v>
      </c>
      <c r="EV20" t="e">
        <f>IF('Listado General'!#REF!,"AAAAAH/f+Zc=",0)</f>
        <v>#REF!</v>
      </c>
      <c r="EW20" t="e">
        <f>AND('Listado General'!#REF!,"AAAAAH/f+Zg=")</f>
        <v>#REF!</v>
      </c>
      <c r="EX20" t="e">
        <f>AND('Listado General'!#REF!,"AAAAAH/f+Zk=")</f>
        <v>#REF!</v>
      </c>
      <c r="EY20" t="e">
        <f>AND('Listado General'!#REF!,"AAAAAH/f+Zo=")</f>
        <v>#REF!</v>
      </c>
      <c r="EZ20" t="e">
        <f>AND('Listado General'!#REF!,"AAAAAH/f+Zs=")</f>
        <v>#REF!</v>
      </c>
      <c r="FA20" t="e">
        <f>AND('Listado General'!#REF!,"AAAAAH/f+Zw=")</f>
        <v>#REF!</v>
      </c>
      <c r="FB20" t="e">
        <f>AND('Listado General'!#REF!,"AAAAAH/f+Z0=")</f>
        <v>#REF!</v>
      </c>
      <c r="FC20" t="e">
        <f>AND('Listado General'!#REF!,"AAAAAH/f+Z4=")</f>
        <v>#REF!</v>
      </c>
      <c r="FD20" t="e">
        <f>AND('Listado General'!#REF!,"AAAAAH/f+Z8=")</f>
        <v>#REF!</v>
      </c>
      <c r="FE20" t="e">
        <f>AND('Listado General'!#REF!,"AAAAAH/f+aA=")</f>
        <v>#REF!</v>
      </c>
      <c r="FF20" t="e">
        <f>IF('Listado General'!#REF!,"AAAAAH/f+aE=",0)</f>
        <v>#REF!</v>
      </c>
      <c r="FG20" t="e">
        <f>AND('Listado General'!#REF!,"AAAAAH/f+aI=")</f>
        <v>#REF!</v>
      </c>
      <c r="FH20" t="e">
        <f>AND('Listado General'!#REF!,"AAAAAH/f+aM=")</f>
        <v>#REF!</v>
      </c>
      <c r="FI20" t="e">
        <f>AND('Listado General'!#REF!,"AAAAAH/f+aQ=")</f>
        <v>#REF!</v>
      </c>
      <c r="FJ20" t="e">
        <f>AND('Listado General'!#REF!,"AAAAAH/f+aU=")</f>
        <v>#REF!</v>
      </c>
      <c r="FK20" t="e">
        <f>AND('Listado General'!#REF!,"AAAAAH/f+aY=")</f>
        <v>#REF!</v>
      </c>
      <c r="FL20" t="e">
        <f>AND('Listado General'!#REF!,"AAAAAH/f+ac=")</f>
        <v>#REF!</v>
      </c>
      <c r="FM20" t="e">
        <f>AND('Listado General'!#REF!,"AAAAAH/f+ag=")</f>
        <v>#REF!</v>
      </c>
      <c r="FN20" t="e">
        <f>AND('Listado General'!#REF!,"AAAAAH/f+ak=")</f>
        <v>#REF!</v>
      </c>
      <c r="FO20" t="e">
        <f>AND('Listado General'!#REF!,"AAAAAH/f+ao=")</f>
        <v>#REF!</v>
      </c>
      <c r="FP20" t="e">
        <f>IF('Listado General'!#REF!,"AAAAAH/f+as=",0)</f>
        <v>#REF!</v>
      </c>
      <c r="FQ20" t="e">
        <f>AND('Listado General'!#REF!,"AAAAAH/f+aw=")</f>
        <v>#REF!</v>
      </c>
      <c r="FR20" t="e">
        <f>AND('Listado General'!#REF!,"AAAAAH/f+a0=")</f>
        <v>#REF!</v>
      </c>
      <c r="FS20" t="e">
        <f>AND('Listado General'!#REF!,"AAAAAH/f+a4=")</f>
        <v>#REF!</v>
      </c>
      <c r="FT20" t="e">
        <f>AND('Listado General'!#REF!,"AAAAAH/f+a8=")</f>
        <v>#REF!</v>
      </c>
      <c r="FU20" t="e">
        <f>AND('Listado General'!#REF!,"AAAAAH/f+bA=")</f>
        <v>#REF!</v>
      </c>
      <c r="FV20" t="e">
        <f>AND('Listado General'!#REF!,"AAAAAH/f+bE=")</f>
        <v>#REF!</v>
      </c>
      <c r="FW20" t="e">
        <f>AND('Listado General'!#REF!,"AAAAAH/f+bI=")</f>
        <v>#REF!</v>
      </c>
      <c r="FX20" t="e">
        <f>AND('Listado General'!#REF!,"AAAAAH/f+bM=")</f>
        <v>#REF!</v>
      </c>
      <c r="FY20" t="e">
        <f>AND('Listado General'!#REF!,"AAAAAH/f+bQ=")</f>
        <v>#REF!</v>
      </c>
      <c r="FZ20" t="e">
        <f>IF('Listado General'!#REF!,"AAAAAH/f+bU=",0)</f>
        <v>#REF!</v>
      </c>
      <c r="GA20" t="e">
        <f>AND('Listado General'!#REF!,"AAAAAH/f+bY=")</f>
        <v>#REF!</v>
      </c>
      <c r="GB20" t="e">
        <f>AND('Listado General'!#REF!,"AAAAAH/f+bc=")</f>
        <v>#REF!</v>
      </c>
      <c r="GC20" t="e">
        <f>AND('Listado General'!#REF!,"AAAAAH/f+bg=")</f>
        <v>#REF!</v>
      </c>
      <c r="GD20" t="e">
        <f>AND('Listado General'!#REF!,"AAAAAH/f+bk=")</f>
        <v>#REF!</v>
      </c>
      <c r="GE20" t="e">
        <f>AND('Listado General'!#REF!,"AAAAAH/f+bo=")</f>
        <v>#REF!</v>
      </c>
      <c r="GF20" t="e">
        <f>AND('Listado General'!#REF!,"AAAAAH/f+bs=")</f>
        <v>#REF!</v>
      </c>
      <c r="GG20" t="e">
        <f>AND('Listado General'!#REF!,"AAAAAH/f+bw=")</f>
        <v>#REF!</v>
      </c>
      <c r="GH20" t="e">
        <f>AND('Listado General'!#REF!,"AAAAAH/f+b0=")</f>
        <v>#REF!</v>
      </c>
      <c r="GI20" t="e">
        <f>AND('Listado General'!#REF!,"AAAAAH/f+b4=")</f>
        <v>#REF!</v>
      </c>
      <c r="GJ20" t="e">
        <f>IF('Listado General'!#REF!,"AAAAAH/f+b8=",0)</f>
        <v>#REF!</v>
      </c>
      <c r="GK20" t="e">
        <f>AND('Listado General'!#REF!,"AAAAAH/f+cA=")</f>
        <v>#REF!</v>
      </c>
      <c r="GL20" t="e">
        <f>AND('Listado General'!#REF!,"AAAAAH/f+cE=")</f>
        <v>#REF!</v>
      </c>
      <c r="GM20" t="e">
        <f>AND('Listado General'!#REF!,"AAAAAH/f+cI=")</f>
        <v>#REF!</v>
      </c>
      <c r="GN20" t="e">
        <f>AND('Listado General'!#REF!,"AAAAAH/f+cM=")</f>
        <v>#REF!</v>
      </c>
      <c r="GO20" t="e">
        <f>AND('Listado General'!#REF!,"AAAAAH/f+cQ=")</f>
        <v>#REF!</v>
      </c>
      <c r="GP20" t="e">
        <f>AND('Listado General'!#REF!,"AAAAAH/f+cU=")</f>
        <v>#REF!</v>
      </c>
      <c r="GQ20" t="e">
        <f>AND('Listado General'!#REF!,"AAAAAH/f+cY=")</f>
        <v>#REF!</v>
      </c>
      <c r="GR20" t="e">
        <f>AND('Listado General'!#REF!,"AAAAAH/f+cc=")</f>
        <v>#REF!</v>
      </c>
      <c r="GS20" t="e">
        <f>AND('Listado General'!#REF!,"AAAAAH/f+cg=")</f>
        <v>#REF!</v>
      </c>
      <c r="GT20" t="e">
        <f>IF('Listado General'!#REF!,"AAAAAH/f+ck=",0)</f>
        <v>#REF!</v>
      </c>
      <c r="GU20" t="e">
        <f>AND('Listado General'!#REF!,"AAAAAH/f+co=")</f>
        <v>#REF!</v>
      </c>
      <c r="GV20" t="e">
        <f>AND('Listado General'!#REF!,"AAAAAH/f+cs=")</f>
        <v>#REF!</v>
      </c>
      <c r="GW20" t="e">
        <f>AND('Listado General'!#REF!,"AAAAAH/f+cw=")</f>
        <v>#REF!</v>
      </c>
      <c r="GX20" t="e">
        <f>AND('Listado General'!#REF!,"AAAAAH/f+c0=")</f>
        <v>#REF!</v>
      </c>
      <c r="GY20" t="e">
        <f>AND('Listado General'!#REF!,"AAAAAH/f+c4=")</f>
        <v>#REF!</v>
      </c>
      <c r="GZ20" t="e">
        <f>AND('Listado General'!#REF!,"AAAAAH/f+c8=")</f>
        <v>#REF!</v>
      </c>
      <c r="HA20" t="e">
        <f>AND('Listado General'!#REF!,"AAAAAH/f+dA=")</f>
        <v>#REF!</v>
      </c>
      <c r="HB20" t="e">
        <f>AND('Listado General'!#REF!,"AAAAAH/f+dE=")</f>
        <v>#REF!</v>
      </c>
      <c r="HC20" t="e">
        <f>AND('Listado General'!#REF!,"AAAAAH/f+dI=")</f>
        <v>#REF!</v>
      </c>
      <c r="HD20" t="e">
        <f>IF('Listado General'!#REF!,"AAAAAH/f+dM=",0)</f>
        <v>#REF!</v>
      </c>
      <c r="HE20" t="e">
        <f>AND('Listado General'!#REF!,"AAAAAH/f+dQ=")</f>
        <v>#REF!</v>
      </c>
      <c r="HF20" t="e">
        <f>AND('Listado General'!#REF!,"AAAAAH/f+dU=")</f>
        <v>#REF!</v>
      </c>
      <c r="HG20" t="e">
        <f>AND('Listado General'!#REF!,"AAAAAH/f+dY=")</f>
        <v>#REF!</v>
      </c>
      <c r="HH20" t="e">
        <f>AND('Listado General'!#REF!,"AAAAAH/f+dc=")</f>
        <v>#REF!</v>
      </c>
      <c r="HI20" t="e">
        <f>AND('Listado General'!#REF!,"AAAAAH/f+dg=")</f>
        <v>#REF!</v>
      </c>
      <c r="HJ20" t="e">
        <f>AND('Listado General'!#REF!,"AAAAAH/f+dk=")</f>
        <v>#REF!</v>
      </c>
      <c r="HK20" t="e">
        <f>AND('Listado General'!#REF!,"AAAAAH/f+do=")</f>
        <v>#REF!</v>
      </c>
      <c r="HL20" t="e">
        <f>AND('Listado General'!#REF!,"AAAAAH/f+ds=")</f>
        <v>#REF!</v>
      </c>
      <c r="HM20" t="e">
        <f>AND('Listado General'!#REF!,"AAAAAH/f+dw=")</f>
        <v>#REF!</v>
      </c>
      <c r="HN20" t="e">
        <f>IF('Listado General'!#REF!,"AAAAAH/f+d0=",0)</f>
        <v>#REF!</v>
      </c>
      <c r="HO20" t="e">
        <f>AND('Listado General'!#REF!,"AAAAAH/f+d4=")</f>
        <v>#REF!</v>
      </c>
      <c r="HP20" t="e">
        <f>AND('Listado General'!#REF!,"AAAAAH/f+d8=")</f>
        <v>#REF!</v>
      </c>
      <c r="HQ20" t="e">
        <f>AND('Listado General'!#REF!,"AAAAAH/f+eA=")</f>
        <v>#REF!</v>
      </c>
      <c r="HR20" t="e">
        <f>AND('Listado General'!#REF!,"AAAAAH/f+eE=")</f>
        <v>#REF!</v>
      </c>
      <c r="HS20" t="e">
        <f>AND('Listado General'!#REF!,"AAAAAH/f+eI=")</f>
        <v>#REF!</v>
      </c>
      <c r="HT20" t="e">
        <f>AND('Listado General'!#REF!,"AAAAAH/f+eM=")</f>
        <v>#REF!</v>
      </c>
      <c r="HU20" t="e">
        <f>AND('Listado General'!#REF!,"AAAAAH/f+eQ=")</f>
        <v>#REF!</v>
      </c>
      <c r="HV20" t="e">
        <f>AND('Listado General'!#REF!,"AAAAAH/f+eU=")</f>
        <v>#REF!</v>
      </c>
      <c r="HW20" t="e">
        <f>AND('Listado General'!#REF!,"AAAAAH/f+eY=")</f>
        <v>#REF!</v>
      </c>
      <c r="HX20" t="e">
        <f>IF('Listado General'!#REF!,"AAAAAH/f+ec=",0)</f>
        <v>#REF!</v>
      </c>
      <c r="HY20" t="e">
        <f>AND('Listado General'!#REF!,"AAAAAH/f+eg=")</f>
        <v>#REF!</v>
      </c>
      <c r="HZ20" t="e">
        <f>AND('Listado General'!#REF!,"AAAAAH/f+ek=")</f>
        <v>#REF!</v>
      </c>
      <c r="IA20" t="e">
        <f>AND('Listado General'!#REF!,"AAAAAH/f+eo=")</f>
        <v>#REF!</v>
      </c>
      <c r="IB20" t="e">
        <f>AND('Listado General'!#REF!,"AAAAAH/f+es=")</f>
        <v>#REF!</v>
      </c>
      <c r="IC20" t="e">
        <f>AND('Listado General'!#REF!,"AAAAAH/f+ew=")</f>
        <v>#REF!</v>
      </c>
      <c r="ID20" t="e">
        <f>AND('Listado General'!#REF!,"AAAAAH/f+e0=")</f>
        <v>#REF!</v>
      </c>
      <c r="IE20" t="e">
        <f>AND('Listado General'!#REF!,"AAAAAH/f+e4=")</f>
        <v>#REF!</v>
      </c>
      <c r="IF20" t="e">
        <f>AND('Listado General'!#REF!,"AAAAAH/f+e8=")</f>
        <v>#REF!</v>
      </c>
      <c r="IG20" t="e">
        <f>AND('Listado General'!#REF!,"AAAAAH/f+fA=")</f>
        <v>#REF!</v>
      </c>
      <c r="IH20" t="e">
        <f>IF('Listado General'!#REF!,"AAAAAH/f+fE=",0)</f>
        <v>#REF!</v>
      </c>
      <c r="II20" t="e">
        <f>AND('Listado General'!#REF!,"AAAAAH/f+fI=")</f>
        <v>#REF!</v>
      </c>
      <c r="IJ20" t="e">
        <f>AND('Listado General'!#REF!,"AAAAAH/f+fM=")</f>
        <v>#REF!</v>
      </c>
      <c r="IK20" t="e">
        <f>AND('Listado General'!#REF!,"AAAAAH/f+fQ=")</f>
        <v>#REF!</v>
      </c>
      <c r="IL20" t="e">
        <f>AND('Listado General'!#REF!,"AAAAAH/f+fU=")</f>
        <v>#REF!</v>
      </c>
      <c r="IM20" t="e">
        <f>AND('Listado General'!#REF!,"AAAAAH/f+fY=")</f>
        <v>#REF!</v>
      </c>
      <c r="IN20" t="e">
        <f>AND('Listado General'!#REF!,"AAAAAH/f+fc=")</f>
        <v>#REF!</v>
      </c>
      <c r="IO20" t="e">
        <f>AND('Listado General'!#REF!,"AAAAAH/f+fg=")</f>
        <v>#REF!</v>
      </c>
      <c r="IP20" t="e">
        <f>AND('Listado General'!#REF!,"AAAAAH/f+fk=")</f>
        <v>#REF!</v>
      </c>
      <c r="IQ20" t="e">
        <f>AND('Listado General'!#REF!,"AAAAAH/f+fo=")</f>
        <v>#REF!</v>
      </c>
      <c r="IR20" t="e">
        <f>IF('Listado General'!#REF!,"AAAAAH/f+fs=",0)</f>
        <v>#REF!</v>
      </c>
      <c r="IS20" t="e">
        <f>AND('Listado General'!#REF!,"AAAAAH/f+fw=")</f>
        <v>#REF!</v>
      </c>
      <c r="IT20" t="e">
        <f>AND('Listado General'!#REF!,"AAAAAH/f+f0=")</f>
        <v>#REF!</v>
      </c>
      <c r="IU20" t="e">
        <f>AND('Listado General'!#REF!,"AAAAAH/f+f4=")</f>
        <v>#REF!</v>
      </c>
      <c r="IV20" t="e">
        <f>AND('Listado General'!#REF!,"AAAAAH/f+f8=")</f>
        <v>#REF!</v>
      </c>
    </row>
    <row r="21" spans="1:256" ht="12.75">
      <c r="A21" t="e">
        <f>AND('Listado General'!#REF!,"AAAAAG93vQA=")</f>
        <v>#REF!</v>
      </c>
      <c r="B21" t="e">
        <f>AND('Listado General'!#REF!,"AAAAAG93vQE=")</f>
        <v>#REF!</v>
      </c>
      <c r="C21" t="e">
        <f>AND('Listado General'!#REF!,"AAAAAG93vQI=")</f>
        <v>#REF!</v>
      </c>
      <c r="D21" t="e">
        <f>AND('Listado General'!#REF!,"AAAAAG93vQM=")</f>
        <v>#REF!</v>
      </c>
      <c r="E21" t="e">
        <f>AND('Listado General'!#REF!,"AAAAAG93vQQ=")</f>
        <v>#REF!</v>
      </c>
      <c r="F21" t="e">
        <f>IF('Listado General'!#REF!,"AAAAAG93vQU=",0)</f>
        <v>#REF!</v>
      </c>
      <c r="G21" t="e">
        <f>AND('Listado General'!#REF!,"AAAAAG93vQY=")</f>
        <v>#REF!</v>
      </c>
      <c r="H21" t="e">
        <f>AND('Listado General'!#REF!,"AAAAAG93vQc=")</f>
        <v>#REF!</v>
      </c>
      <c r="I21" t="e">
        <f>AND('Listado General'!#REF!,"AAAAAG93vQg=")</f>
        <v>#REF!</v>
      </c>
      <c r="J21" t="e">
        <f>AND('Listado General'!#REF!,"AAAAAG93vQk=")</f>
        <v>#REF!</v>
      </c>
      <c r="K21" t="e">
        <f>AND('Listado General'!#REF!,"AAAAAG93vQo=")</f>
        <v>#REF!</v>
      </c>
      <c r="L21" t="e">
        <f>AND('Listado General'!#REF!,"AAAAAG93vQs=")</f>
        <v>#REF!</v>
      </c>
      <c r="M21" t="e">
        <f>AND('Listado General'!#REF!,"AAAAAG93vQw=")</f>
        <v>#REF!</v>
      </c>
      <c r="N21" t="e">
        <f>AND('Listado General'!#REF!,"AAAAAG93vQ0=")</f>
        <v>#REF!</v>
      </c>
      <c r="O21" t="e">
        <f>AND('Listado General'!#REF!,"AAAAAG93vQ4=")</f>
        <v>#REF!</v>
      </c>
      <c r="P21" t="e">
        <f>IF('Listado General'!#REF!,"AAAAAG93vQ8=",0)</f>
        <v>#REF!</v>
      </c>
      <c r="Q21" t="e">
        <f>AND('Listado General'!#REF!,"AAAAAG93vRA=")</f>
        <v>#REF!</v>
      </c>
      <c r="R21" t="e">
        <f>AND('Listado General'!#REF!,"AAAAAG93vRE=")</f>
        <v>#REF!</v>
      </c>
      <c r="S21" t="e">
        <f>AND('Listado General'!#REF!,"AAAAAG93vRI=")</f>
        <v>#REF!</v>
      </c>
      <c r="T21" t="e">
        <f>AND('Listado General'!#REF!,"AAAAAG93vRM=")</f>
        <v>#REF!</v>
      </c>
      <c r="U21" t="e">
        <f>AND('Listado General'!#REF!,"AAAAAG93vRQ=")</f>
        <v>#REF!</v>
      </c>
      <c r="V21" t="e">
        <f>AND('Listado General'!#REF!,"AAAAAG93vRU=")</f>
        <v>#REF!</v>
      </c>
      <c r="W21" t="e">
        <f>AND('Listado General'!#REF!,"AAAAAG93vRY=")</f>
        <v>#REF!</v>
      </c>
      <c r="X21" t="e">
        <f>AND('Listado General'!#REF!,"AAAAAG93vRc=")</f>
        <v>#REF!</v>
      </c>
      <c r="Y21" t="e">
        <f>AND('Listado General'!#REF!,"AAAAAG93vRg=")</f>
        <v>#REF!</v>
      </c>
      <c r="Z21" t="e">
        <f>IF('Listado General'!#REF!,"AAAAAG93vRk=",0)</f>
        <v>#REF!</v>
      </c>
      <c r="AA21" t="e">
        <f>AND('Listado General'!#REF!,"AAAAAG93vRo=")</f>
        <v>#REF!</v>
      </c>
      <c r="AB21" t="e">
        <f>AND('Listado General'!#REF!,"AAAAAG93vRs=")</f>
        <v>#REF!</v>
      </c>
      <c r="AC21" t="e">
        <f>AND('Listado General'!#REF!,"AAAAAG93vRw=")</f>
        <v>#REF!</v>
      </c>
      <c r="AD21" t="e">
        <f>AND('Listado General'!#REF!,"AAAAAG93vR0=")</f>
        <v>#REF!</v>
      </c>
      <c r="AE21" t="e">
        <f>AND('Listado General'!#REF!,"AAAAAG93vR4=")</f>
        <v>#REF!</v>
      </c>
      <c r="AF21" t="e">
        <f>AND('Listado General'!#REF!,"AAAAAG93vR8=")</f>
        <v>#REF!</v>
      </c>
      <c r="AG21" t="e">
        <f>AND('Listado General'!#REF!,"AAAAAG93vSA=")</f>
        <v>#REF!</v>
      </c>
      <c r="AH21" t="e">
        <f>AND('Listado General'!#REF!,"AAAAAG93vSE=")</f>
        <v>#REF!</v>
      </c>
      <c r="AI21" t="e">
        <f>AND('Listado General'!#REF!,"AAAAAG93vSI=")</f>
        <v>#REF!</v>
      </c>
      <c r="AJ21" t="e">
        <f>IF('Listado General'!#REF!,"AAAAAG93vSM=",0)</f>
        <v>#REF!</v>
      </c>
      <c r="AK21" t="e">
        <f>AND('Listado General'!#REF!,"AAAAAG93vSQ=")</f>
        <v>#REF!</v>
      </c>
      <c r="AL21" t="e">
        <f>AND('Listado General'!#REF!,"AAAAAG93vSU=")</f>
        <v>#REF!</v>
      </c>
      <c r="AM21" t="e">
        <f>AND('Listado General'!#REF!,"AAAAAG93vSY=")</f>
        <v>#REF!</v>
      </c>
      <c r="AN21" t="e">
        <f>AND('Listado General'!#REF!,"AAAAAG93vSc=")</f>
        <v>#REF!</v>
      </c>
      <c r="AO21" t="e">
        <f>AND('Listado General'!#REF!,"AAAAAG93vSg=")</f>
        <v>#REF!</v>
      </c>
      <c r="AP21" t="e">
        <f>AND('Listado General'!#REF!,"AAAAAG93vSk=")</f>
        <v>#REF!</v>
      </c>
      <c r="AQ21" t="e">
        <f>AND('Listado General'!#REF!,"AAAAAG93vSo=")</f>
        <v>#REF!</v>
      </c>
      <c r="AR21" t="e">
        <f>AND('Listado General'!#REF!,"AAAAAG93vSs=")</f>
        <v>#REF!</v>
      </c>
      <c r="AS21" t="e">
        <f>AND('Listado General'!#REF!,"AAAAAG93vSw=")</f>
        <v>#REF!</v>
      </c>
      <c r="AT21" t="e">
        <f>IF('Listado General'!#REF!,"AAAAAG93vS0=",0)</f>
        <v>#REF!</v>
      </c>
      <c r="AU21" t="e">
        <f>AND('Listado General'!#REF!,"AAAAAG93vS4=")</f>
        <v>#REF!</v>
      </c>
      <c r="AV21" t="e">
        <f>AND('Listado General'!#REF!,"AAAAAG93vS8=")</f>
        <v>#REF!</v>
      </c>
      <c r="AW21" t="e">
        <f>AND('Listado General'!#REF!,"AAAAAG93vTA=")</f>
        <v>#REF!</v>
      </c>
      <c r="AX21" t="e">
        <f>AND('Listado General'!#REF!,"AAAAAG93vTE=")</f>
        <v>#REF!</v>
      </c>
      <c r="AY21" t="e">
        <f>AND('Listado General'!#REF!,"AAAAAG93vTI=")</f>
        <v>#REF!</v>
      </c>
      <c r="AZ21" t="e">
        <f>AND('Listado General'!#REF!,"AAAAAG93vTM=")</f>
        <v>#REF!</v>
      </c>
      <c r="BA21" t="e">
        <f>AND('Listado General'!#REF!,"AAAAAG93vTQ=")</f>
        <v>#REF!</v>
      </c>
      <c r="BB21" t="e">
        <f>AND('Listado General'!#REF!,"AAAAAG93vTU=")</f>
        <v>#REF!</v>
      </c>
      <c r="BC21" t="e">
        <f>AND('Listado General'!#REF!,"AAAAAG93vTY=")</f>
        <v>#REF!</v>
      </c>
      <c r="BD21" t="e">
        <f>IF('Listado General'!#REF!,"AAAAAG93vTc=",0)</f>
        <v>#REF!</v>
      </c>
      <c r="BE21" t="e">
        <f>AND('Listado General'!#REF!,"AAAAAG93vTg=")</f>
        <v>#REF!</v>
      </c>
      <c r="BF21" t="e">
        <f>AND('Listado General'!#REF!,"AAAAAG93vTk=")</f>
        <v>#REF!</v>
      </c>
      <c r="BG21" t="e">
        <f>AND('Listado General'!#REF!,"AAAAAG93vTo=")</f>
        <v>#REF!</v>
      </c>
      <c r="BH21" t="e">
        <f>AND('Listado General'!#REF!,"AAAAAG93vTs=")</f>
        <v>#REF!</v>
      </c>
      <c r="BI21" t="e">
        <f>AND('Listado General'!#REF!,"AAAAAG93vTw=")</f>
        <v>#REF!</v>
      </c>
      <c r="BJ21" t="e">
        <f>AND('Listado General'!#REF!,"AAAAAG93vT0=")</f>
        <v>#REF!</v>
      </c>
      <c r="BK21" t="e">
        <f>AND('Listado General'!#REF!,"AAAAAG93vT4=")</f>
        <v>#REF!</v>
      </c>
      <c r="BL21" t="e">
        <f>AND('Listado General'!#REF!,"AAAAAG93vT8=")</f>
        <v>#REF!</v>
      </c>
      <c r="BM21" t="e">
        <f>AND('Listado General'!#REF!,"AAAAAG93vUA=")</f>
        <v>#REF!</v>
      </c>
      <c r="BN21" t="e">
        <f>IF('Listado General'!#REF!,"AAAAAG93vUE=",0)</f>
        <v>#REF!</v>
      </c>
      <c r="BO21" t="e">
        <f>AND('Listado General'!#REF!,"AAAAAG93vUI=")</f>
        <v>#REF!</v>
      </c>
      <c r="BP21" t="e">
        <f>AND('Listado General'!#REF!,"AAAAAG93vUM=")</f>
        <v>#REF!</v>
      </c>
      <c r="BQ21" t="e">
        <f>AND('Listado General'!#REF!,"AAAAAG93vUQ=")</f>
        <v>#REF!</v>
      </c>
      <c r="BR21" t="e">
        <f>AND('Listado General'!#REF!,"AAAAAG93vUU=")</f>
        <v>#REF!</v>
      </c>
      <c r="BS21" t="e">
        <f>AND('Listado General'!#REF!,"AAAAAG93vUY=")</f>
        <v>#REF!</v>
      </c>
      <c r="BT21" t="e">
        <f>AND('Listado General'!#REF!,"AAAAAG93vUc=")</f>
        <v>#REF!</v>
      </c>
      <c r="BU21" t="e">
        <f>AND('Listado General'!#REF!,"AAAAAG93vUg=")</f>
        <v>#REF!</v>
      </c>
      <c r="BV21" t="e">
        <f>AND('Listado General'!#REF!,"AAAAAG93vUk=")</f>
        <v>#REF!</v>
      </c>
      <c r="BW21" t="e">
        <f>AND('Listado General'!#REF!,"AAAAAG93vUo=")</f>
        <v>#REF!</v>
      </c>
      <c r="BX21" t="e">
        <f>IF('Listado General'!#REF!,"AAAAAG93vUs=",0)</f>
        <v>#REF!</v>
      </c>
      <c r="BY21" t="e">
        <f>AND('Listado General'!#REF!,"AAAAAG93vUw=")</f>
        <v>#REF!</v>
      </c>
      <c r="BZ21" t="e">
        <f>AND('Listado General'!#REF!,"AAAAAG93vU0=")</f>
        <v>#REF!</v>
      </c>
      <c r="CA21" t="e">
        <f>AND('Listado General'!#REF!,"AAAAAG93vU4=")</f>
        <v>#REF!</v>
      </c>
      <c r="CB21" t="e">
        <f>AND('Listado General'!#REF!,"AAAAAG93vU8=")</f>
        <v>#REF!</v>
      </c>
      <c r="CC21" t="e">
        <f>AND('Listado General'!#REF!,"AAAAAG93vVA=")</f>
        <v>#REF!</v>
      </c>
      <c r="CD21" t="e">
        <f>AND('Listado General'!#REF!,"AAAAAG93vVE=")</f>
        <v>#REF!</v>
      </c>
      <c r="CE21" t="e">
        <f>AND('Listado General'!#REF!,"AAAAAG93vVI=")</f>
        <v>#REF!</v>
      </c>
      <c r="CF21" t="e">
        <f>AND('Listado General'!#REF!,"AAAAAG93vVM=")</f>
        <v>#REF!</v>
      </c>
      <c r="CG21" t="e">
        <f>AND('Listado General'!#REF!,"AAAAAG93vVQ=")</f>
        <v>#REF!</v>
      </c>
      <c r="CH21" t="e">
        <f>IF('Listado General'!#REF!,"AAAAAG93vVU=",0)</f>
        <v>#REF!</v>
      </c>
      <c r="CI21" t="e">
        <f>AND('Listado General'!#REF!,"AAAAAG93vVY=")</f>
        <v>#REF!</v>
      </c>
      <c r="CJ21" t="e">
        <f>AND('Listado General'!#REF!,"AAAAAG93vVc=")</f>
        <v>#REF!</v>
      </c>
      <c r="CK21" t="e">
        <f>AND('Listado General'!#REF!,"AAAAAG93vVg=")</f>
        <v>#REF!</v>
      </c>
      <c r="CL21" t="e">
        <f>AND('Listado General'!#REF!,"AAAAAG93vVk=")</f>
        <v>#REF!</v>
      </c>
      <c r="CM21" t="e">
        <f>AND('Listado General'!#REF!,"AAAAAG93vVo=")</f>
        <v>#REF!</v>
      </c>
      <c r="CN21" t="e">
        <f>AND('Listado General'!#REF!,"AAAAAG93vVs=")</f>
        <v>#REF!</v>
      </c>
      <c r="CO21" t="e">
        <f>AND('Listado General'!#REF!,"AAAAAG93vVw=")</f>
        <v>#REF!</v>
      </c>
      <c r="CP21" t="e">
        <f>AND('Listado General'!#REF!,"AAAAAG93vV0=")</f>
        <v>#REF!</v>
      </c>
      <c r="CQ21" t="e">
        <f>AND('Listado General'!#REF!,"AAAAAG93vV4=")</f>
        <v>#REF!</v>
      </c>
      <c r="CR21" t="e">
        <f>IF('Listado General'!#REF!,"AAAAAG93vV8=",0)</f>
        <v>#REF!</v>
      </c>
      <c r="CS21" t="e">
        <f>AND('Listado General'!#REF!,"AAAAAG93vWA=")</f>
        <v>#REF!</v>
      </c>
      <c r="CT21" t="e">
        <f>AND('Listado General'!#REF!,"AAAAAG93vWE=")</f>
        <v>#REF!</v>
      </c>
      <c r="CU21" t="e">
        <f>AND('Listado General'!#REF!,"AAAAAG93vWI=")</f>
        <v>#REF!</v>
      </c>
      <c r="CV21" t="e">
        <f>AND('Listado General'!#REF!,"AAAAAG93vWM=")</f>
        <v>#REF!</v>
      </c>
      <c r="CW21" t="e">
        <f>AND('Listado General'!#REF!,"AAAAAG93vWQ=")</f>
        <v>#REF!</v>
      </c>
      <c r="CX21" t="e">
        <f>AND('Listado General'!#REF!,"AAAAAG93vWU=")</f>
        <v>#REF!</v>
      </c>
      <c r="CY21" t="e">
        <f>AND('Listado General'!#REF!,"AAAAAG93vWY=")</f>
        <v>#REF!</v>
      </c>
      <c r="CZ21" t="e">
        <f>AND('Listado General'!#REF!,"AAAAAG93vWc=")</f>
        <v>#REF!</v>
      </c>
      <c r="DA21" t="e">
        <f>AND('Listado General'!#REF!,"AAAAAG93vWg=")</f>
        <v>#REF!</v>
      </c>
      <c r="DB21" t="e">
        <f>IF('Listado General'!#REF!,"AAAAAG93vWk=",0)</f>
        <v>#REF!</v>
      </c>
      <c r="DC21" t="e">
        <f>AND('Listado General'!#REF!,"AAAAAG93vWo=")</f>
        <v>#REF!</v>
      </c>
      <c r="DD21" t="e">
        <f>AND('Listado General'!#REF!,"AAAAAG93vWs=")</f>
        <v>#REF!</v>
      </c>
      <c r="DE21" t="e">
        <f>AND('Listado General'!#REF!,"AAAAAG93vWw=")</f>
        <v>#REF!</v>
      </c>
      <c r="DF21" t="e">
        <f>AND('Listado General'!#REF!,"AAAAAG93vW0=")</f>
        <v>#REF!</v>
      </c>
      <c r="DG21" t="e">
        <f>AND('Listado General'!#REF!,"AAAAAG93vW4=")</f>
        <v>#REF!</v>
      </c>
      <c r="DH21" t="e">
        <f>AND('Listado General'!#REF!,"AAAAAG93vW8=")</f>
        <v>#REF!</v>
      </c>
      <c r="DI21" t="e">
        <f>AND('Listado General'!#REF!,"AAAAAG93vXA=")</f>
        <v>#REF!</v>
      </c>
      <c r="DJ21" t="e">
        <f>AND('Listado General'!#REF!,"AAAAAG93vXE=")</f>
        <v>#REF!</v>
      </c>
      <c r="DK21" t="e">
        <f>AND('Listado General'!#REF!,"AAAAAG93vXI=")</f>
        <v>#REF!</v>
      </c>
      <c r="DL21" t="e">
        <f>IF('Listado General'!#REF!,"AAAAAG93vXM=",0)</f>
        <v>#REF!</v>
      </c>
      <c r="DM21" t="e">
        <f>AND('Listado General'!#REF!,"AAAAAG93vXQ=")</f>
        <v>#REF!</v>
      </c>
      <c r="DN21" t="e">
        <f>AND('Listado General'!#REF!,"AAAAAG93vXU=")</f>
        <v>#REF!</v>
      </c>
      <c r="DO21" t="e">
        <f>AND('Listado General'!#REF!,"AAAAAG93vXY=")</f>
        <v>#REF!</v>
      </c>
      <c r="DP21" t="e">
        <f>AND('Listado General'!#REF!,"AAAAAG93vXc=")</f>
        <v>#REF!</v>
      </c>
      <c r="DQ21" t="e">
        <f>AND('Listado General'!#REF!,"AAAAAG93vXg=")</f>
        <v>#REF!</v>
      </c>
      <c r="DR21" t="e">
        <f>AND('Listado General'!#REF!,"AAAAAG93vXk=")</f>
        <v>#REF!</v>
      </c>
      <c r="DS21" t="e">
        <f>AND('Listado General'!#REF!,"AAAAAG93vXo=")</f>
        <v>#REF!</v>
      </c>
      <c r="DT21" t="e">
        <f>AND('Listado General'!#REF!,"AAAAAG93vXs=")</f>
        <v>#REF!</v>
      </c>
      <c r="DU21" t="e">
        <f>AND('Listado General'!#REF!,"AAAAAG93vXw=")</f>
        <v>#REF!</v>
      </c>
      <c r="DV21" t="e">
        <f>IF('Listado General'!#REF!,"AAAAAG93vX0=",0)</f>
        <v>#REF!</v>
      </c>
      <c r="DW21" t="e">
        <f>AND('Listado General'!#REF!,"AAAAAG93vX4=")</f>
        <v>#REF!</v>
      </c>
      <c r="DX21" t="e">
        <f>AND('Listado General'!#REF!,"AAAAAG93vX8=")</f>
        <v>#REF!</v>
      </c>
      <c r="DY21" t="e">
        <f>AND('Listado General'!#REF!,"AAAAAG93vYA=")</f>
        <v>#REF!</v>
      </c>
      <c r="DZ21" t="e">
        <f>AND('Listado General'!#REF!,"AAAAAG93vYE=")</f>
        <v>#REF!</v>
      </c>
      <c r="EA21" t="e">
        <f>AND('Listado General'!#REF!,"AAAAAG93vYI=")</f>
        <v>#REF!</v>
      </c>
      <c r="EB21" t="e">
        <f>AND('Listado General'!#REF!,"AAAAAG93vYM=")</f>
        <v>#REF!</v>
      </c>
      <c r="EC21" t="e">
        <f>AND('Listado General'!#REF!,"AAAAAG93vYQ=")</f>
        <v>#REF!</v>
      </c>
      <c r="ED21" t="e">
        <f>AND('Listado General'!#REF!,"AAAAAG93vYU=")</f>
        <v>#REF!</v>
      </c>
      <c r="EE21" t="e">
        <f>AND('Listado General'!#REF!,"AAAAAG93vYY=")</f>
        <v>#REF!</v>
      </c>
      <c r="EF21" t="e">
        <f>IF('Listado General'!#REF!,"AAAAAG93vYc=",0)</f>
        <v>#REF!</v>
      </c>
      <c r="EG21" t="e">
        <f>AND('Listado General'!#REF!,"AAAAAG93vYg=")</f>
        <v>#REF!</v>
      </c>
      <c r="EH21" t="e">
        <f>AND('Listado General'!#REF!,"AAAAAG93vYk=")</f>
        <v>#REF!</v>
      </c>
      <c r="EI21" t="e">
        <f>AND('Listado General'!#REF!,"AAAAAG93vYo=")</f>
        <v>#REF!</v>
      </c>
      <c r="EJ21" t="e">
        <f>AND('Listado General'!#REF!,"AAAAAG93vYs=")</f>
        <v>#REF!</v>
      </c>
      <c r="EK21" t="e">
        <f>AND('Listado General'!#REF!,"AAAAAG93vYw=")</f>
        <v>#REF!</v>
      </c>
      <c r="EL21" t="e">
        <f>AND('Listado General'!#REF!,"AAAAAG93vY0=")</f>
        <v>#REF!</v>
      </c>
      <c r="EM21" t="e">
        <f>AND('Listado General'!#REF!,"AAAAAG93vY4=")</f>
        <v>#REF!</v>
      </c>
      <c r="EN21" t="e">
        <f>AND('Listado General'!#REF!,"AAAAAG93vY8=")</f>
        <v>#REF!</v>
      </c>
      <c r="EO21" t="e">
        <f>AND('Listado General'!#REF!,"AAAAAG93vZA=")</f>
        <v>#REF!</v>
      </c>
      <c r="EP21" t="e">
        <f>IF('Listado General'!#REF!,"AAAAAG93vZE=",0)</f>
        <v>#REF!</v>
      </c>
      <c r="EQ21" t="e">
        <f>AND('Listado General'!#REF!,"AAAAAG93vZI=")</f>
        <v>#REF!</v>
      </c>
      <c r="ER21" t="e">
        <f>AND('Listado General'!#REF!,"AAAAAG93vZM=")</f>
        <v>#REF!</v>
      </c>
      <c r="ES21" t="e">
        <f>AND('Listado General'!#REF!,"AAAAAG93vZQ=")</f>
        <v>#REF!</v>
      </c>
      <c r="ET21" t="e">
        <f>AND('Listado General'!#REF!,"AAAAAG93vZU=")</f>
        <v>#REF!</v>
      </c>
      <c r="EU21" t="e">
        <f>AND('Listado General'!#REF!,"AAAAAG93vZY=")</f>
        <v>#REF!</v>
      </c>
      <c r="EV21" t="e">
        <f>AND('Listado General'!#REF!,"AAAAAG93vZc=")</f>
        <v>#REF!</v>
      </c>
      <c r="EW21" t="e">
        <f>AND('Listado General'!#REF!,"AAAAAG93vZg=")</f>
        <v>#REF!</v>
      </c>
      <c r="EX21" t="e">
        <f>AND('Listado General'!#REF!,"AAAAAG93vZk=")</f>
        <v>#REF!</v>
      </c>
      <c r="EY21" t="e">
        <f>AND('Listado General'!#REF!,"AAAAAG93vZo=")</f>
        <v>#REF!</v>
      </c>
      <c r="EZ21" t="e">
        <f>IF('Listado General'!#REF!,"AAAAAG93vZs=",0)</f>
        <v>#REF!</v>
      </c>
      <c r="FA21" t="e">
        <f>AND('Listado General'!#REF!,"AAAAAG93vZw=")</f>
        <v>#REF!</v>
      </c>
      <c r="FB21" t="e">
        <f>AND('Listado General'!#REF!,"AAAAAG93vZ0=")</f>
        <v>#REF!</v>
      </c>
      <c r="FC21" t="e">
        <f>AND('Listado General'!#REF!,"AAAAAG93vZ4=")</f>
        <v>#REF!</v>
      </c>
      <c r="FD21" t="e">
        <f>AND('Listado General'!#REF!,"AAAAAG93vZ8=")</f>
        <v>#REF!</v>
      </c>
      <c r="FE21" t="e">
        <f>AND('Listado General'!#REF!,"AAAAAG93vaA=")</f>
        <v>#REF!</v>
      </c>
      <c r="FF21" t="e">
        <f>AND('Listado General'!#REF!,"AAAAAG93vaE=")</f>
        <v>#REF!</v>
      </c>
      <c r="FG21" t="e">
        <f>AND('Listado General'!#REF!,"AAAAAG93vaI=")</f>
        <v>#REF!</v>
      </c>
      <c r="FH21" t="e">
        <f>AND('Listado General'!#REF!,"AAAAAG93vaM=")</f>
        <v>#REF!</v>
      </c>
      <c r="FI21" t="e">
        <f>AND('Listado General'!#REF!,"AAAAAG93vaQ=")</f>
        <v>#REF!</v>
      </c>
      <c r="FJ21" t="e">
        <f>IF('Listado General'!#REF!,"AAAAAG93vaU=",0)</f>
        <v>#REF!</v>
      </c>
      <c r="FK21" t="e">
        <f>AND('Listado General'!#REF!,"AAAAAG93vaY=")</f>
        <v>#REF!</v>
      </c>
      <c r="FL21" t="e">
        <f>AND('Listado General'!#REF!,"AAAAAG93vac=")</f>
        <v>#REF!</v>
      </c>
      <c r="FM21" t="e">
        <f>AND('Listado General'!#REF!,"AAAAAG93vag=")</f>
        <v>#REF!</v>
      </c>
      <c r="FN21" t="e">
        <f>AND('Listado General'!#REF!,"AAAAAG93vak=")</f>
        <v>#REF!</v>
      </c>
      <c r="FO21" t="e">
        <f>AND('Listado General'!#REF!,"AAAAAG93vao=")</f>
        <v>#REF!</v>
      </c>
      <c r="FP21" t="e">
        <f>AND('Listado General'!#REF!,"AAAAAG93vas=")</f>
        <v>#REF!</v>
      </c>
      <c r="FQ21" t="e">
        <f>AND('Listado General'!#REF!,"AAAAAG93vaw=")</f>
        <v>#REF!</v>
      </c>
      <c r="FR21" t="e">
        <f>AND('Listado General'!#REF!,"AAAAAG93va0=")</f>
        <v>#REF!</v>
      </c>
      <c r="FS21" t="e">
        <f>AND('Listado General'!#REF!,"AAAAAG93va4=")</f>
        <v>#REF!</v>
      </c>
      <c r="FT21" t="e">
        <f>IF('Listado General'!#REF!,"AAAAAG93va8=",0)</f>
        <v>#REF!</v>
      </c>
      <c r="FU21" t="e">
        <f>AND('Listado General'!#REF!,"AAAAAG93vbA=")</f>
        <v>#REF!</v>
      </c>
      <c r="FV21" t="e">
        <f>AND('Listado General'!#REF!,"AAAAAG93vbE=")</f>
        <v>#REF!</v>
      </c>
      <c r="FW21" t="e">
        <f>AND('Listado General'!#REF!,"AAAAAG93vbI=")</f>
        <v>#REF!</v>
      </c>
      <c r="FX21" t="e">
        <f>AND('Listado General'!#REF!,"AAAAAG93vbM=")</f>
        <v>#REF!</v>
      </c>
      <c r="FY21" t="e">
        <f>AND('Listado General'!#REF!,"AAAAAG93vbQ=")</f>
        <v>#REF!</v>
      </c>
      <c r="FZ21" t="e">
        <f>AND('Listado General'!#REF!,"AAAAAG93vbU=")</f>
        <v>#REF!</v>
      </c>
      <c r="GA21" t="e">
        <f>AND('Listado General'!#REF!,"AAAAAG93vbY=")</f>
        <v>#REF!</v>
      </c>
      <c r="GB21" t="e">
        <f>AND('Listado General'!#REF!,"AAAAAG93vbc=")</f>
        <v>#REF!</v>
      </c>
      <c r="GC21" t="e">
        <f>AND('Listado General'!#REF!,"AAAAAG93vbg=")</f>
        <v>#REF!</v>
      </c>
      <c r="GD21" t="e">
        <f>IF('Listado General'!#REF!,"AAAAAG93vbk=",0)</f>
        <v>#REF!</v>
      </c>
      <c r="GE21" t="e">
        <f>AND('Listado General'!#REF!,"AAAAAG93vbo=")</f>
        <v>#REF!</v>
      </c>
      <c r="GF21" t="e">
        <f>AND('Listado General'!#REF!,"AAAAAG93vbs=")</f>
        <v>#REF!</v>
      </c>
      <c r="GG21" t="e">
        <f>AND('Listado General'!#REF!,"AAAAAG93vbw=")</f>
        <v>#REF!</v>
      </c>
      <c r="GH21" t="e">
        <f>AND('Listado General'!#REF!,"AAAAAG93vb0=")</f>
        <v>#REF!</v>
      </c>
      <c r="GI21" t="e">
        <f>AND('Listado General'!#REF!,"AAAAAG93vb4=")</f>
        <v>#REF!</v>
      </c>
      <c r="GJ21" t="e">
        <f>AND('Listado General'!#REF!,"AAAAAG93vb8=")</f>
        <v>#REF!</v>
      </c>
      <c r="GK21" t="e">
        <f>AND('Listado General'!#REF!,"AAAAAG93vcA=")</f>
        <v>#REF!</v>
      </c>
      <c r="GL21" t="e">
        <f>AND('Listado General'!#REF!,"AAAAAG93vcE=")</f>
        <v>#REF!</v>
      </c>
      <c r="GM21" t="e">
        <f>AND('Listado General'!#REF!,"AAAAAG93vcI=")</f>
        <v>#REF!</v>
      </c>
      <c r="GN21" t="e">
        <f>IF('Listado General'!#REF!,"AAAAAG93vcM=",0)</f>
        <v>#REF!</v>
      </c>
      <c r="GO21" t="e">
        <f>AND('Listado General'!#REF!,"AAAAAG93vcQ=")</f>
        <v>#REF!</v>
      </c>
      <c r="GP21" t="e">
        <f>AND('Listado General'!#REF!,"AAAAAG93vcU=")</f>
        <v>#REF!</v>
      </c>
      <c r="GQ21" t="e">
        <f>AND('Listado General'!#REF!,"AAAAAG93vcY=")</f>
        <v>#REF!</v>
      </c>
      <c r="GR21" t="e">
        <f>AND('Listado General'!#REF!,"AAAAAG93vcc=")</f>
        <v>#REF!</v>
      </c>
      <c r="GS21" t="e">
        <f>AND('Listado General'!#REF!,"AAAAAG93vcg=")</f>
        <v>#REF!</v>
      </c>
      <c r="GT21" t="e">
        <f>AND('Listado General'!#REF!,"AAAAAG93vck=")</f>
        <v>#REF!</v>
      </c>
      <c r="GU21" t="e">
        <f>AND('Listado General'!#REF!,"AAAAAG93vco=")</f>
        <v>#REF!</v>
      </c>
      <c r="GV21" t="e">
        <f>AND('Listado General'!#REF!,"AAAAAG93vcs=")</f>
        <v>#REF!</v>
      </c>
      <c r="GW21" t="e">
        <f>AND('Listado General'!#REF!,"AAAAAG93vcw=")</f>
        <v>#REF!</v>
      </c>
      <c r="GX21" t="e">
        <f>IF('Listado General'!#REF!,"AAAAAG93vc0=",0)</f>
        <v>#REF!</v>
      </c>
      <c r="GY21" t="e">
        <f>AND('Listado General'!#REF!,"AAAAAG93vc4=")</f>
        <v>#REF!</v>
      </c>
      <c r="GZ21" t="e">
        <f>AND('Listado General'!#REF!,"AAAAAG93vc8=")</f>
        <v>#REF!</v>
      </c>
      <c r="HA21" t="e">
        <f>AND('Listado General'!#REF!,"AAAAAG93vdA=")</f>
        <v>#REF!</v>
      </c>
      <c r="HB21" t="e">
        <f>AND('Listado General'!#REF!,"AAAAAG93vdE=")</f>
        <v>#REF!</v>
      </c>
      <c r="HC21" t="e">
        <f>AND('Listado General'!#REF!,"AAAAAG93vdI=")</f>
        <v>#REF!</v>
      </c>
      <c r="HD21" t="e">
        <f>AND('Listado General'!#REF!,"AAAAAG93vdM=")</f>
        <v>#REF!</v>
      </c>
      <c r="HE21" t="e">
        <f>AND('Listado General'!#REF!,"AAAAAG93vdQ=")</f>
        <v>#REF!</v>
      </c>
      <c r="HF21" t="e">
        <f>AND('Listado General'!#REF!,"AAAAAG93vdU=")</f>
        <v>#REF!</v>
      </c>
      <c r="HG21" t="e">
        <f>AND('Listado General'!#REF!,"AAAAAG93vdY=")</f>
        <v>#REF!</v>
      </c>
      <c r="HH21" t="e">
        <f>IF('Listado General'!#REF!,"AAAAAG93vdc=",0)</f>
        <v>#REF!</v>
      </c>
      <c r="HI21" t="e">
        <f>AND('Listado General'!#REF!,"AAAAAG93vdg=")</f>
        <v>#REF!</v>
      </c>
      <c r="HJ21" t="e">
        <f>AND('Listado General'!#REF!,"AAAAAG93vdk=")</f>
        <v>#REF!</v>
      </c>
      <c r="HK21" t="e">
        <f>AND('Listado General'!#REF!,"AAAAAG93vdo=")</f>
        <v>#REF!</v>
      </c>
      <c r="HL21" t="e">
        <f>AND('Listado General'!#REF!,"AAAAAG93vds=")</f>
        <v>#REF!</v>
      </c>
      <c r="HM21" t="e">
        <f>AND('Listado General'!#REF!,"AAAAAG93vdw=")</f>
        <v>#REF!</v>
      </c>
      <c r="HN21" t="e">
        <f>AND('Listado General'!#REF!,"AAAAAG93vd0=")</f>
        <v>#REF!</v>
      </c>
      <c r="HO21" t="e">
        <f>AND('Listado General'!#REF!,"AAAAAG93vd4=")</f>
        <v>#REF!</v>
      </c>
      <c r="HP21" t="e">
        <f>AND('Listado General'!#REF!,"AAAAAG93vd8=")</f>
        <v>#REF!</v>
      </c>
      <c r="HQ21" t="e">
        <f>AND('Listado General'!#REF!,"AAAAAG93veA=")</f>
        <v>#REF!</v>
      </c>
      <c r="HR21" t="e">
        <f>IF('Listado General'!#REF!,"AAAAAG93veE=",0)</f>
        <v>#REF!</v>
      </c>
      <c r="HS21" t="e">
        <f>AND('Listado General'!#REF!,"AAAAAG93veI=")</f>
        <v>#REF!</v>
      </c>
      <c r="HT21" t="e">
        <f>AND('Listado General'!#REF!,"AAAAAG93veM=")</f>
        <v>#REF!</v>
      </c>
      <c r="HU21" t="e">
        <f>AND('Listado General'!#REF!,"AAAAAG93veQ=")</f>
        <v>#REF!</v>
      </c>
      <c r="HV21" t="e">
        <f>AND('Listado General'!#REF!,"AAAAAG93veU=")</f>
        <v>#REF!</v>
      </c>
      <c r="HW21" t="e">
        <f>AND('Listado General'!#REF!,"AAAAAG93veY=")</f>
        <v>#REF!</v>
      </c>
      <c r="HX21" t="e">
        <f>AND('Listado General'!#REF!,"AAAAAG93vec=")</f>
        <v>#REF!</v>
      </c>
      <c r="HY21" t="e">
        <f>AND('Listado General'!#REF!,"AAAAAG93veg=")</f>
        <v>#REF!</v>
      </c>
      <c r="HZ21" t="e">
        <f>AND('Listado General'!#REF!,"AAAAAG93vek=")</f>
        <v>#REF!</v>
      </c>
      <c r="IA21" t="e">
        <f>AND('Listado General'!#REF!,"AAAAAG93veo=")</f>
        <v>#REF!</v>
      </c>
      <c r="IB21" t="e">
        <f>IF('Listado General'!#REF!,"AAAAAG93ves=",0)</f>
        <v>#REF!</v>
      </c>
      <c r="IC21" t="e">
        <f>AND('Listado General'!#REF!,"AAAAAG93vew=")</f>
        <v>#REF!</v>
      </c>
      <c r="ID21" t="e">
        <f>AND('Listado General'!#REF!,"AAAAAG93ve0=")</f>
        <v>#REF!</v>
      </c>
      <c r="IE21" t="e">
        <f>AND('Listado General'!#REF!,"AAAAAG93ve4=")</f>
        <v>#REF!</v>
      </c>
      <c r="IF21" t="e">
        <f>AND('Listado General'!#REF!,"AAAAAG93ve8=")</f>
        <v>#REF!</v>
      </c>
      <c r="IG21" t="e">
        <f>AND('Listado General'!#REF!,"AAAAAG93vfA=")</f>
        <v>#REF!</v>
      </c>
      <c r="IH21" t="e">
        <f>AND('Listado General'!#REF!,"AAAAAG93vfE=")</f>
        <v>#REF!</v>
      </c>
      <c r="II21" t="e">
        <f>AND('Listado General'!#REF!,"AAAAAG93vfI=")</f>
        <v>#REF!</v>
      </c>
      <c r="IJ21" t="e">
        <f>AND('Listado General'!#REF!,"AAAAAG93vfM=")</f>
        <v>#REF!</v>
      </c>
      <c r="IK21" t="e">
        <f>AND('Listado General'!#REF!,"AAAAAG93vfQ=")</f>
        <v>#REF!</v>
      </c>
      <c r="IL21" t="e">
        <f>IF('Listado General'!#REF!,"AAAAAG93vfU=",0)</f>
        <v>#REF!</v>
      </c>
      <c r="IM21" t="e">
        <f>AND('Listado General'!#REF!,"AAAAAG93vfY=")</f>
        <v>#REF!</v>
      </c>
      <c r="IN21" t="e">
        <f>AND('Listado General'!#REF!,"AAAAAG93vfc=")</f>
        <v>#REF!</v>
      </c>
      <c r="IO21" t="e">
        <f>AND('Listado General'!#REF!,"AAAAAG93vfg=")</f>
        <v>#REF!</v>
      </c>
      <c r="IP21" t="e">
        <f>AND('Listado General'!#REF!,"AAAAAG93vfk=")</f>
        <v>#REF!</v>
      </c>
      <c r="IQ21" t="e">
        <f>AND('Listado General'!#REF!,"AAAAAG93vfo=")</f>
        <v>#REF!</v>
      </c>
      <c r="IR21" t="e">
        <f>AND('Listado General'!#REF!,"AAAAAG93vfs=")</f>
        <v>#REF!</v>
      </c>
      <c r="IS21" t="e">
        <f>AND('Listado General'!#REF!,"AAAAAG93vfw=")</f>
        <v>#REF!</v>
      </c>
      <c r="IT21" t="e">
        <f>AND('Listado General'!#REF!,"AAAAAG93vf0=")</f>
        <v>#REF!</v>
      </c>
      <c r="IU21" t="e">
        <f>AND('Listado General'!#REF!,"AAAAAG93vf4=")</f>
        <v>#REF!</v>
      </c>
      <c r="IV21" t="e">
        <f>IF('Listado General'!#REF!,"AAAAAG93vf8=",0)</f>
        <v>#REF!</v>
      </c>
    </row>
    <row r="22" spans="1:256" ht="12.75">
      <c r="A22" t="e">
        <f>AND('Listado General'!#REF!,"AAAAAF3v7QA=")</f>
        <v>#REF!</v>
      </c>
      <c r="B22" t="e">
        <f>AND('Listado General'!#REF!,"AAAAAF3v7QE=")</f>
        <v>#REF!</v>
      </c>
      <c r="C22" t="e">
        <f>AND('Listado General'!#REF!,"AAAAAF3v7QI=")</f>
        <v>#REF!</v>
      </c>
      <c r="D22" t="e">
        <f>AND('Listado General'!#REF!,"AAAAAF3v7QM=")</f>
        <v>#REF!</v>
      </c>
      <c r="E22" t="e">
        <f>AND('Listado General'!#REF!,"AAAAAF3v7QQ=")</f>
        <v>#REF!</v>
      </c>
      <c r="F22" t="e">
        <f>AND('Listado General'!#REF!,"AAAAAF3v7QU=")</f>
        <v>#REF!</v>
      </c>
      <c r="G22" t="e">
        <f>AND('Listado General'!#REF!,"AAAAAF3v7QY=")</f>
        <v>#REF!</v>
      </c>
      <c r="H22" t="e">
        <f>AND('Listado General'!#REF!,"AAAAAF3v7Qc=")</f>
        <v>#REF!</v>
      </c>
      <c r="I22" t="e">
        <f>AND('Listado General'!#REF!,"AAAAAF3v7Qg=")</f>
        <v>#REF!</v>
      </c>
      <c r="J22" t="e">
        <f>IF('Listado General'!#REF!,"AAAAAF3v7Qk=",0)</f>
        <v>#REF!</v>
      </c>
      <c r="K22" t="e">
        <f>AND('Listado General'!#REF!,"AAAAAF3v7Qo=")</f>
        <v>#REF!</v>
      </c>
      <c r="L22" t="e">
        <f>AND('Listado General'!#REF!,"AAAAAF3v7Qs=")</f>
        <v>#REF!</v>
      </c>
      <c r="M22" t="e">
        <f>AND('Listado General'!#REF!,"AAAAAF3v7Qw=")</f>
        <v>#REF!</v>
      </c>
      <c r="N22" t="e">
        <f>AND('Listado General'!#REF!,"AAAAAF3v7Q0=")</f>
        <v>#REF!</v>
      </c>
      <c r="O22" t="e">
        <f>AND('Listado General'!#REF!,"AAAAAF3v7Q4=")</f>
        <v>#REF!</v>
      </c>
      <c r="P22" t="e">
        <f>AND('Listado General'!#REF!,"AAAAAF3v7Q8=")</f>
        <v>#REF!</v>
      </c>
      <c r="Q22" t="e">
        <f>AND('Listado General'!#REF!,"AAAAAF3v7RA=")</f>
        <v>#REF!</v>
      </c>
      <c r="R22" t="e">
        <f>AND('Listado General'!#REF!,"AAAAAF3v7RE=")</f>
        <v>#REF!</v>
      </c>
      <c r="S22" t="e">
        <f>AND('Listado General'!#REF!,"AAAAAF3v7RI=")</f>
        <v>#REF!</v>
      </c>
      <c r="T22" t="e">
        <f>IF('Listado General'!#REF!,"AAAAAF3v7RM=",0)</f>
        <v>#REF!</v>
      </c>
      <c r="U22" t="e">
        <f>AND('Listado General'!#REF!,"AAAAAF3v7RQ=")</f>
        <v>#REF!</v>
      </c>
      <c r="V22" t="e">
        <f>AND('Listado General'!#REF!,"AAAAAF3v7RU=")</f>
        <v>#REF!</v>
      </c>
      <c r="W22" t="e">
        <f>AND('Listado General'!#REF!,"AAAAAF3v7RY=")</f>
        <v>#REF!</v>
      </c>
      <c r="X22" t="e">
        <f>AND('Listado General'!#REF!,"AAAAAF3v7Rc=")</f>
        <v>#REF!</v>
      </c>
      <c r="Y22" t="e">
        <f>AND('Listado General'!#REF!,"AAAAAF3v7Rg=")</f>
        <v>#REF!</v>
      </c>
      <c r="Z22" t="e">
        <f>AND('Listado General'!#REF!,"AAAAAF3v7Rk=")</f>
        <v>#REF!</v>
      </c>
      <c r="AA22" t="e">
        <f>AND('Listado General'!#REF!,"AAAAAF3v7Ro=")</f>
        <v>#REF!</v>
      </c>
      <c r="AB22" t="e">
        <f>AND('Listado General'!#REF!,"AAAAAF3v7Rs=")</f>
        <v>#REF!</v>
      </c>
      <c r="AC22" t="e">
        <f>AND('Listado General'!#REF!,"AAAAAF3v7Rw=")</f>
        <v>#REF!</v>
      </c>
      <c r="AD22" t="e">
        <f>IF('Listado General'!#REF!,"AAAAAF3v7R0=",0)</f>
        <v>#REF!</v>
      </c>
      <c r="AE22" t="e">
        <f>AND('Listado General'!#REF!,"AAAAAF3v7R4=")</f>
        <v>#REF!</v>
      </c>
      <c r="AF22" t="e">
        <f>AND('Listado General'!#REF!,"AAAAAF3v7R8=")</f>
        <v>#REF!</v>
      </c>
      <c r="AG22" t="e">
        <f>AND('Listado General'!#REF!,"AAAAAF3v7SA=")</f>
        <v>#REF!</v>
      </c>
      <c r="AH22" t="e">
        <f>AND('Listado General'!#REF!,"AAAAAF3v7SE=")</f>
        <v>#REF!</v>
      </c>
      <c r="AI22" t="e">
        <f>AND('Listado General'!#REF!,"AAAAAF3v7SI=")</f>
        <v>#REF!</v>
      </c>
      <c r="AJ22" t="e">
        <f>AND('Listado General'!#REF!,"AAAAAF3v7SM=")</f>
        <v>#REF!</v>
      </c>
      <c r="AK22" t="e">
        <f>AND('Listado General'!#REF!,"AAAAAF3v7SQ=")</f>
        <v>#REF!</v>
      </c>
      <c r="AL22" t="e">
        <f>AND('Listado General'!#REF!,"AAAAAF3v7SU=")</f>
        <v>#REF!</v>
      </c>
      <c r="AM22" t="e">
        <f>AND('Listado General'!#REF!,"AAAAAF3v7SY=")</f>
        <v>#REF!</v>
      </c>
      <c r="AN22" t="e">
        <f>IF('Listado General'!#REF!,"AAAAAF3v7Sc=",0)</f>
        <v>#REF!</v>
      </c>
      <c r="AO22" t="e">
        <f>AND('Listado General'!#REF!,"AAAAAF3v7Sg=")</f>
        <v>#REF!</v>
      </c>
      <c r="AP22" t="e">
        <f>AND('Listado General'!#REF!,"AAAAAF3v7Sk=")</f>
        <v>#REF!</v>
      </c>
      <c r="AQ22" t="e">
        <f>AND('Listado General'!#REF!,"AAAAAF3v7So=")</f>
        <v>#REF!</v>
      </c>
      <c r="AR22" t="e">
        <f>AND('Listado General'!#REF!,"AAAAAF3v7Ss=")</f>
        <v>#REF!</v>
      </c>
      <c r="AS22" t="e">
        <f>AND('Listado General'!#REF!,"AAAAAF3v7Sw=")</f>
        <v>#REF!</v>
      </c>
      <c r="AT22" t="e">
        <f>AND('Listado General'!#REF!,"AAAAAF3v7S0=")</f>
        <v>#REF!</v>
      </c>
      <c r="AU22" t="e">
        <f>AND('Listado General'!#REF!,"AAAAAF3v7S4=")</f>
        <v>#REF!</v>
      </c>
      <c r="AV22" t="e">
        <f>AND('Listado General'!#REF!,"AAAAAF3v7S8=")</f>
        <v>#REF!</v>
      </c>
      <c r="AW22" t="e">
        <f>AND('Listado General'!#REF!,"AAAAAF3v7TA=")</f>
        <v>#REF!</v>
      </c>
      <c r="AX22" t="e">
        <f>IF('Listado General'!#REF!,"AAAAAF3v7TE=",0)</f>
        <v>#REF!</v>
      </c>
      <c r="AY22" t="e">
        <f>AND('Listado General'!#REF!,"AAAAAF3v7TI=")</f>
        <v>#REF!</v>
      </c>
      <c r="AZ22" t="e">
        <f>AND('Listado General'!#REF!,"AAAAAF3v7TM=")</f>
        <v>#REF!</v>
      </c>
      <c r="BA22" t="e">
        <f>AND('Listado General'!#REF!,"AAAAAF3v7TQ=")</f>
        <v>#REF!</v>
      </c>
      <c r="BB22" t="e">
        <f>AND('Listado General'!#REF!,"AAAAAF3v7TU=")</f>
        <v>#REF!</v>
      </c>
      <c r="BC22" t="e">
        <f>AND('Listado General'!#REF!,"AAAAAF3v7TY=")</f>
        <v>#REF!</v>
      </c>
      <c r="BD22" t="e">
        <f>AND('Listado General'!#REF!,"AAAAAF3v7Tc=")</f>
        <v>#REF!</v>
      </c>
      <c r="BE22" t="e">
        <f>AND('Listado General'!#REF!,"AAAAAF3v7Tg=")</f>
        <v>#REF!</v>
      </c>
      <c r="BF22" t="e">
        <f>AND('Listado General'!#REF!,"AAAAAF3v7Tk=")</f>
        <v>#REF!</v>
      </c>
      <c r="BG22" t="e">
        <f>AND('Listado General'!#REF!,"AAAAAF3v7To=")</f>
        <v>#REF!</v>
      </c>
      <c r="BH22" t="e">
        <f>IF('Listado General'!#REF!,"AAAAAF3v7Ts=",0)</f>
        <v>#REF!</v>
      </c>
      <c r="BI22" t="e">
        <f>AND('Listado General'!#REF!,"AAAAAF3v7Tw=")</f>
        <v>#REF!</v>
      </c>
      <c r="BJ22" t="e">
        <f>AND('Listado General'!#REF!,"AAAAAF3v7T0=")</f>
        <v>#REF!</v>
      </c>
      <c r="BK22" t="e">
        <f>AND('Listado General'!#REF!,"AAAAAF3v7T4=")</f>
        <v>#REF!</v>
      </c>
      <c r="BL22" t="e">
        <f>AND('Listado General'!#REF!,"AAAAAF3v7T8=")</f>
        <v>#REF!</v>
      </c>
      <c r="BM22" t="e">
        <f>AND('Listado General'!#REF!,"AAAAAF3v7UA=")</f>
        <v>#REF!</v>
      </c>
      <c r="BN22" t="e">
        <f>AND('Listado General'!#REF!,"AAAAAF3v7UE=")</f>
        <v>#REF!</v>
      </c>
      <c r="BO22" t="e">
        <f>AND('Listado General'!#REF!,"AAAAAF3v7UI=")</f>
        <v>#REF!</v>
      </c>
      <c r="BP22" t="e">
        <f>AND('Listado General'!#REF!,"AAAAAF3v7UM=")</f>
        <v>#REF!</v>
      </c>
      <c r="BQ22" t="e">
        <f>AND('Listado General'!#REF!,"AAAAAF3v7UQ=")</f>
        <v>#REF!</v>
      </c>
      <c r="BR22" t="e">
        <f>IF('Listado General'!#REF!,"AAAAAF3v7UU=",0)</f>
        <v>#REF!</v>
      </c>
      <c r="BS22" t="e">
        <f>AND('Listado General'!#REF!,"AAAAAF3v7UY=")</f>
        <v>#REF!</v>
      </c>
      <c r="BT22" t="e">
        <f>AND('Listado General'!#REF!,"AAAAAF3v7Uc=")</f>
        <v>#REF!</v>
      </c>
      <c r="BU22" t="e">
        <f>AND('Listado General'!#REF!,"AAAAAF3v7Ug=")</f>
        <v>#REF!</v>
      </c>
      <c r="BV22" t="e">
        <f>AND('Listado General'!#REF!,"AAAAAF3v7Uk=")</f>
        <v>#REF!</v>
      </c>
      <c r="BW22" t="e">
        <f>AND('Listado General'!#REF!,"AAAAAF3v7Uo=")</f>
        <v>#REF!</v>
      </c>
      <c r="BX22" t="e">
        <f>AND('Listado General'!#REF!,"AAAAAF3v7Us=")</f>
        <v>#REF!</v>
      </c>
      <c r="BY22" t="e">
        <f>AND('Listado General'!#REF!,"AAAAAF3v7Uw=")</f>
        <v>#REF!</v>
      </c>
      <c r="BZ22" t="e">
        <f>AND('Listado General'!#REF!,"AAAAAF3v7U0=")</f>
        <v>#REF!</v>
      </c>
      <c r="CA22" t="e">
        <f>AND('Listado General'!#REF!,"AAAAAF3v7U4=")</f>
        <v>#REF!</v>
      </c>
      <c r="CB22" t="e">
        <f>IF('Listado General'!#REF!,"AAAAAF3v7U8=",0)</f>
        <v>#REF!</v>
      </c>
      <c r="CC22" t="e">
        <f>AND('Listado General'!#REF!,"AAAAAF3v7VA=")</f>
        <v>#REF!</v>
      </c>
      <c r="CD22" t="e">
        <f>AND('Listado General'!#REF!,"AAAAAF3v7VE=")</f>
        <v>#REF!</v>
      </c>
      <c r="CE22" t="e">
        <f>AND('Listado General'!#REF!,"AAAAAF3v7VI=")</f>
        <v>#REF!</v>
      </c>
      <c r="CF22" t="e">
        <f>AND('Listado General'!#REF!,"AAAAAF3v7VM=")</f>
        <v>#REF!</v>
      </c>
      <c r="CG22" t="e">
        <f>AND('Listado General'!#REF!,"AAAAAF3v7VQ=")</f>
        <v>#REF!</v>
      </c>
      <c r="CH22" t="e">
        <f>AND('Listado General'!#REF!,"AAAAAF3v7VU=")</f>
        <v>#REF!</v>
      </c>
      <c r="CI22" t="e">
        <f>AND('Listado General'!#REF!,"AAAAAF3v7VY=")</f>
        <v>#REF!</v>
      </c>
      <c r="CJ22" t="e">
        <f>AND('Listado General'!#REF!,"AAAAAF3v7Vc=")</f>
        <v>#REF!</v>
      </c>
      <c r="CK22" t="e">
        <f>AND('Listado General'!#REF!,"AAAAAF3v7Vg=")</f>
        <v>#REF!</v>
      </c>
      <c r="CL22" t="e">
        <f>IF('Listado General'!#REF!,"AAAAAF3v7Vk=",0)</f>
        <v>#REF!</v>
      </c>
      <c r="CM22" t="e">
        <f>AND('Listado General'!#REF!,"AAAAAF3v7Vo=")</f>
        <v>#REF!</v>
      </c>
      <c r="CN22" t="e">
        <f>AND('Listado General'!#REF!,"AAAAAF3v7Vs=")</f>
        <v>#REF!</v>
      </c>
      <c r="CO22" t="e">
        <f>AND('Listado General'!#REF!,"AAAAAF3v7Vw=")</f>
        <v>#REF!</v>
      </c>
      <c r="CP22" t="e">
        <f>AND('Listado General'!#REF!,"AAAAAF3v7V0=")</f>
        <v>#REF!</v>
      </c>
      <c r="CQ22" t="e">
        <f>AND('Listado General'!#REF!,"AAAAAF3v7V4=")</f>
        <v>#REF!</v>
      </c>
      <c r="CR22" t="e">
        <f>AND('Listado General'!#REF!,"AAAAAF3v7V8=")</f>
        <v>#REF!</v>
      </c>
      <c r="CS22" t="e">
        <f>AND('Listado General'!#REF!,"AAAAAF3v7WA=")</f>
        <v>#REF!</v>
      </c>
      <c r="CT22" t="e">
        <f>AND('Listado General'!#REF!,"AAAAAF3v7WE=")</f>
        <v>#REF!</v>
      </c>
      <c r="CU22" t="e">
        <f>AND('Listado General'!#REF!,"AAAAAF3v7WI=")</f>
        <v>#REF!</v>
      </c>
      <c r="CV22" t="e">
        <f>IF('Listado General'!#REF!,"AAAAAF3v7WM=",0)</f>
        <v>#REF!</v>
      </c>
      <c r="CW22" t="e">
        <f>AND('Listado General'!#REF!,"AAAAAF3v7WQ=")</f>
        <v>#REF!</v>
      </c>
      <c r="CX22" t="e">
        <f>AND('Listado General'!#REF!,"AAAAAF3v7WU=")</f>
        <v>#REF!</v>
      </c>
      <c r="CY22" t="e">
        <f>AND('Listado General'!#REF!,"AAAAAF3v7WY=")</f>
        <v>#REF!</v>
      </c>
      <c r="CZ22" t="e">
        <f>AND('Listado General'!#REF!,"AAAAAF3v7Wc=")</f>
        <v>#REF!</v>
      </c>
      <c r="DA22" t="e">
        <f>AND('Listado General'!#REF!,"AAAAAF3v7Wg=")</f>
        <v>#REF!</v>
      </c>
      <c r="DB22" t="e">
        <f>AND('Listado General'!#REF!,"AAAAAF3v7Wk=")</f>
        <v>#REF!</v>
      </c>
      <c r="DC22" t="e">
        <f>AND('Listado General'!#REF!,"AAAAAF3v7Wo=")</f>
        <v>#REF!</v>
      </c>
      <c r="DD22" t="e">
        <f>AND('Listado General'!#REF!,"AAAAAF3v7Ws=")</f>
        <v>#REF!</v>
      </c>
      <c r="DE22" t="e">
        <f>AND('Listado General'!#REF!,"AAAAAF3v7Ww=")</f>
        <v>#REF!</v>
      </c>
      <c r="DF22" t="e">
        <f>IF('Listado General'!#REF!,"AAAAAF3v7W0=",0)</f>
        <v>#REF!</v>
      </c>
      <c r="DG22" t="e">
        <f>AND('Listado General'!#REF!,"AAAAAF3v7W4=")</f>
        <v>#REF!</v>
      </c>
      <c r="DH22" t="e">
        <f>AND('Listado General'!#REF!,"AAAAAF3v7W8=")</f>
        <v>#REF!</v>
      </c>
      <c r="DI22" t="e">
        <f>AND('Listado General'!#REF!,"AAAAAF3v7XA=")</f>
        <v>#REF!</v>
      </c>
      <c r="DJ22" t="e">
        <f>AND('Listado General'!#REF!,"AAAAAF3v7XE=")</f>
        <v>#REF!</v>
      </c>
      <c r="DK22" t="e">
        <f>AND('Listado General'!#REF!,"AAAAAF3v7XI=")</f>
        <v>#REF!</v>
      </c>
      <c r="DL22" t="e">
        <f>AND('Listado General'!#REF!,"AAAAAF3v7XM=")</f>
        <v>#REF!</v>
      </c>
      <c r="DM22" t="e">
        <f>AND('Listado General'!#REF!,"AAAAAF3v7XQ=")</f>
        <v>#REF!</v>
      </c>
      <c r="DN22" t="e">
        <f>AND('Listado General'!#REF!,"AAAAAF3v7XU=")</f>
        <v>#REF!</v>
      </c>
      <c r="DO22" t="e">
        <f>AND('Listado General'!#REF!,"AAAAAF3v7XY=")</f>
        <v>#REF!</v>
      </c>
      <c r="DP22" t="e">
        <f>IF('Listado General'!#REF!,"AAAAAF3v7Xc=",0)</f>
        <v>#REF!</v>
      </c>
      <c r="DQ22" t="e">
        <f>AND('Listado General'!#REF!,"AAAAAF3v7Xg=")</f>
        <v>#REF!</v>
      </c>
      <c r="DR22" t="e">
        <f>AND('Listado General'!#REF!,"AAAAAF3v7Xk=")</f>
        <v>#REF!</v>
      </c>
      <c r="DS22" t="e">
        <f>AND('Listado General'!#REF!,"AAAAAF3v7Xo=")</f>
        <v>#REF!</v>
      </c>
      <c r="DT22" t="e">
        <f>AND('Listado General'!#REF!,"AAAAAF3v7Xs=")</f>
        <v>#REF!</v>
      </c>
      <c r="DU22" t="e">
        <f>AND('Listado General'!#REF!,"AAAAAF3v7Xw=")</f>
        <v>#REF!</v>
      </c>
      <c r="DV22" t="e">
        <f>AND('Listado General'!#REF!,"AAAAAF3v7X0=")</f>
        <v>#REF!</v>
      </c>
      <c r="DW22" t="e">
        <f>AND('Listado General'!#REF!,"AAAAAF3v7X4=")</f>
        <v>#REF!</v>
      </c>
      <c r="DX22" t="e">
        <f>AND('Listado General'!#REF!,"AAAAAF3v7X8=")</f>
        <v>#REF!</v>
      </c>
      <c r="DY22" t="e">
        <f>AND('Listado General'!#REF!,"AAAAAF3v7YA=")</f>
        <v>#REF!</v>
      </c>
      <c r="DZ22" t="e">
        <f>IF('Listado General'!#REF!,"AAAAAF3v7YE=",0)</f>
        <v>#REF!</v>
      </c>
      <c r="EA22" t="e">
        <f>AND('Listado General'!#REF!,"AAAAAF3v7YI=")</f>
        <v>#REF!</v>
      </c>
      <c r="EB22" t="e">
        <f>AND('Listado General'!#REF!,"AAAAAF3v7YM=")</f>
        <v>#REF!</v>
      </c>
      <c r="EC22" t="e">
        <f>AND('Listado General'!#REF!,"AAAAAF3v7YQ=")</f>
        <v>#REF!</v>
      </c>
      <c r="ED22" t="e">
        <f>AND('Listado General'!#REF!,"AAAAAF3v7YU=")</f>
        <v>#REF!</v>
      </c>
      <c r="EE22" t="e">
        <f>AND('Listado General'!#REF!,"AAAAAF3v7YY=")</f>
        <v>#REF!</v>
      </c>
      <c r="EF22" t="e">
        <f>AND('Listado General'!#REF!,"AAAAAF3v7Yc=")</f>
        <v>#REF!</v>
      </c>
      <c r="EG22" t="e">
        <f>AND('Listado General'!#REF!,"AAAAAF3v7Yg=")</f>
        <v>#REF!</v>
      </c>
      <c r="EH22" t="e">
        <f>AND('Listado General'!#REF!,"AAAAAF3v7Yk=")</f>
        <v>#REF!</v>
      </c>
      <c r="EI22" t="e">
        <f>AND('Listado General'!#REF!,"AAAAAF3v7Yo=")</f>
        <v>#REF!</v>
      </c>
      <c r="EJ22" t="e">
        <f>IF('Listado General'!#REF!,"AAAAAF3v7Ys=",0)</f>
        <v>#REF!</v>
      </c>
      <c r="EK22" t="e">
        <f>AND('Listado General'!#REF!,"AAAAAF3v7Yw=")</f>
        <v>#REF!</v>
      </c>
      <c r="EL22" t="e">
        <f>AND('Listado General'!#REF!,"AAAAAF3v7Y0=")</f>
        <v>#REF!</v>
      </c>
      <c r="EM22" t="e">
        <f>AND('Listado General'!#REF!,"AAAAAF3v7Y4=")</f>
        <v>#REF!</v>
      </c>
      <c r="EN22" t="e">
        <f>AND('Listado General'!#REF!,"AAAAAF3v7Y8=")</f>
        <v>#REF!</v>
      </c>
      <c r="EO22" t="e">
        <f>AND('Listado General'!#REF!,"AAAAAF3v7ZA=")</f>
        <v>#REF!</v>
      </c>
      <c r="EP22" t="e">
        <f>AND('Listado General'!#REF!,"AAAAAF3v7ZE=")</f>
        <v>#REF!</v>
      </c>
      <c r="EQ22" t="e">
        <f>AND('Listado General'!#REF!,"AAAAAF3v7ZI=")</f>
        <v>#REF!</v>
      </c>
      <c r="ER22" t="e">
        <f>AND('Listado General'!#REF!,"AAAAAF3v7ZM=")</f>
        <v>#REF!</v>
      </c>
      <c r="ES22" t="e">
        <f>AND('Listado General'!#REF!,"AAAAAF3v7ZQ=")</f>
        <v>#REF!</v>
      </c>
      <c r="ET22" t="e">
        <f>IF('Listado General'!#REF!,"AAAAAF3v7ZU=",0)</f>
        <v>#REF!</v>
      </c>
      <c r="EU22" t="e">
        <f>AND('Listado General'!#REF!,"AAAAAF3v7ZY=")</f>
        <v>#REF!</v>
      </c>
      <c r="EV22" t="e">
        <f>AND('Listado General'!#REF!,"AAAAAF3v7Zc=")</f>
        <v>#REF!</v>
      </c>
      <c r="EW22" t="e">
        <f>AND('Listado General'!#REF!,"AAAAAF3v7Zg=")</f>
        <v>#REF!</v>
      </c>
      <c r="EX22" t="e">
        <f>AND('Listado General'!#REF!,"AAAAAF3v7Zk=")</f>
        <v>#REF!</v>
      </c>
      <c r="EY22" t="e">
        <f>AND('Listado General'!#REF!,"AAAAAF3v7Zo=")</f>
        <v>#REF!</v>
      </c>
      <c r="EZ22" t="e">
        <f>AND('Listado General'!#REF!,"AAAAAF3v7Zs=")</f>
        <v>#REF!</v>
      </c>
      <c r="FA22" t="e">
        <f>AND('Listado General'!#REF!,"AAAAAF3v7Zw=")</f>
        <v>#REF!</v>
      </c>
      <c r="FB22" t="e">
        <f>AND('Listado General'!#REF!,"AAAAAF3v7Z0=")</f>
        <v>#REF!</v>
      </c>
      <c r="FC22" t="e">
        <f>AND('Listado General'!#REF!,"AAAAAF3v7Z4=")</f>
        <v>#REF!</v>
      </c>
      <c r="FD22" t="e">
        <f>IF('Listado General'!#REF!,"AAAAAF3v7Z8=",0)</f>
        <v>#REF!</v>
      </c>
      <c r="FE22" t="e">
        <f>AND('Listado General'!#REF!,"AAAAAF3v7aA=")</f>
        <v>#REF!</v>
      </c>
      <c r="FF22" t="e">
        <f>AND('Listado General'!#REF!,"AAAAAF3v7aE=")</f>
        <v>#REF!</v>
      </c>
      <c r="FG22" t="e">
        <f>AND('Listado General'!#REF!,"AAAAAF3v7aI=")</f>
        <v>#REF!</v>
      </c>
      <c r="FH22" t="e">
        <f>AND('Listado General'!#REF!,"AAAAAF3v7aM=")</f>
        <v>#REF!</v>
      </c>
      <c r="FI22" t="e">
        <f>AND('Listado General'!#REF!,"AAAAAF3v7aQ=")</f>
        <v>#REF!</v>
      </c>
      <c r="FJ22" t="e">
        <f>AND('Listado General'!#REF!,"AAAAAF3v7aU=")</f>
        <v>#REF!</v>
      </c>
      <c r="FK22" t="e">
        <f>AND('Listado General'!#REF!,"AAAAAF3v7aY=")</f>
        <v>#REF!</v>
      </c>
      <c r="FL22" t="e">
        <f>AND('Listado General'!#REF!,"AAAAAF3v7ac=")</f>
        <v>#REF!</v>
      </c>
      <c r="FM22" t="e">
        <f>AND('Listado General'!#REF!,"AAAAAF3v7ag=")</f>
        <v>#REF!</v>
      </c>
      <c r="FN22" t="e">
        <f>IF('Listado General'!#REF!,"AAAAAF3v7ak=",0)</f>
        <v>#REF!</v>
      </c>
      <c r="FO22" t="e">
        <f>AND('Listado General'!#REF!,"AAAAAF3v7ao=")</f>
        <v>#REF!</v>
      </c>
      <c r="FP22" t="e">
        <f>AND('Listado General'!#REF!,"AAAAAF3v7as=")</f>
        <v>#REF!</v>
      </c>
      <c r="FQ22" t="e">
        <f>AND('Listado General'!#REF!,"AAAAAF3v7aw=")</f>
        <v>#REF!</v>
      </c>
      <c r="FR22" t="e">
        <f>AND('Listado General'!#REF!,"AAAAAF3v7a0=")</f>
        <v>#REF!</v>
      </c>
      <c r="FS22" t="e">
        <f>AND('Listado General'!#REF!,"AAAAAF3v7a4=")</f>
        <v>#REF!</v>
      </c>
      <c r="FT22" t="e">
        <f>AND('Listado General'!#REF!,"AAAAAF3v7a8=")</f>
        <v>#REF!</v>
      </c>
      <c r="FU22" t="e">
        <f>AND('Listado General'!#REF!,"AAAAAF3v7bA=")</f>
        <v>#REF!</v>
      </c>
      <c r="FV22" t="e">
        <f>AND('Listado General'!#REF!,"AAAAAF3v7bE=")</f>
        <v>#REF!</v>
      </c>
      <c r="FW22" t="e">
        <f>AND('Listado General'!#REF!,"AAAAAF3v7bI=")</f>
        <v>#REF!</v>
      </c>
      <c r="FX22" t="e">
        <f>IF('Listado General'!#REF!,"AAAAAF3v7bM=",0)</f>
        <v>#REF!</v>
      </c>
      <c r="FY22" t="e">
        <f>AND('Listado General'!#REF!,"AAAAAF3v7bQ=")</f>
        <v>#REF!</v>
      </c>
      <c r="FZ22" t="e">
        <f>AND('Listado General'!#REF!,"AAAAAF3v7bU=")</f>
        <v>#REF!</v>
      </c>
      <c r="GA22" t="e">
        <f>AND('Listado General'!#REF!,"AAAAAF3v7bY=")</f>
        <v>#REF!</v>
      </c>
      <c r="GB22" t="e">
        <f>AND('Listado General'!#REF!,"AAAAAF3v7bc=")</f>
        <v>#REF!</v>
      </c>
      <c r="GC22" t="e">
        <f>AND('Listado General'!#REF!,"AAAAAF3v7bg=")</f>
        <v>#REF!</v>
      </c>
      <c r="GD22" t="e">
        <f>AND('Listado General'!#REF!,"AAAAAF3v7bk=")</f>
        <v>#REF!</v>
      </c>
      <c r="GE22" t="e">
        <f>AND('Listado General'!#REF!,"AAAAAF3v7bo=")</f>
        <v>#REF!</v>
      </c>
      <c r="GF22" t="e">
        <f>AND('Listado General'!#REF!,"AAAAAF3v7bs=")</f>
        <v>#REF!</v>
      </c>
      <c r="GG22" t="e">
        <f>AND('Listado General'!#REF!,"AAAAAF3v7bw=")</f>
        <v>#REF!</v>
      </c>
      <c r="GH22" t="e">
        <f>IF('Listado General'!#REF!,"AAAAAF3v7b0=",0)</f>
        <v>#REF!</v>
      </c>
      <c r="GI22" t="e">
        <f>AND('Listado General'!#REF!,"AAAAAF3v7b4=")</f>
        <v>#REF!</v>
      </c>
      <c r="GJ22" t="e">
        <f>AND('Listado General'!#REF!,"AAAAAF3v7b8=")</f>
        <v>#REF!</v>
      </c>
      <c r="GK22" t="e">
        <f>AND('Listado General'!#REF!,"AAAAAF3v7cA=")</f>
        <v>#REF!</v>
      </c>
      <c r="GL22" t="e">
        <f>AND('Listado General'!#REF!,"AAAAAF3v7cE=")</f>
        <v>#REF!</v>
      </c>
      <c r="GM22" t="e">
        <f>AND('Listado General'!#REF!,"AAAAAF3v7cI=")</f>
        <v>#REF!</v>
      </c>
      <c r="GN22" t="e">
        <f>AND('Listado General'!#REF!,"AAAAAF3v7cM=")</f>
        <v>#REF!</v>
      </c>
      <c r="GO22" t="e">
        <f>AND('Listado General'!#REF!,"AAAAAF3v7cQ=")</f>
        <v>#REF!</v>
      </c>
      <c r="GP22" t="e">
        <f>AND('Listado General'!#REF!,"AAAAAF3v7cU=")</f>
        <v>#REF!</v>
      </c>
      <c r="GQ22" t="e">
        <f>AND('Listado General'!#REF!,"AAAAAF3v7cY=")</f>
        <v>#REF!</v>
      </c>
      <c r="GR22" t="e">
        <f>IF('Listado General'!#REF!,"AAAAAF3v7cc=",0)</f>
        <v>#REF!</v>
      </c>
      <c r="GS22" t="e">
        <f>AND('Listado General'!#REF!,"AAAAAF3v7cg=")</f>
        <v>#REF!</v>
      </c>
      <c r="GT22" t="e">
        <f>AND('Listado General'!#REF!,"AAAAAF3v7ck=")</f>
        <v>#REF!</v>
      </c>
      <c r="GU22" t="e">
        <f>AND('Listado General'!#REF!,"AAAAAF3v7co=")</f>
        <v>#REF!</v>
      </c>
      <c r="GV22" t="e">
        <f>AND('Listado General'!#REF!,"AAAAAF3v7cs=")</f>
        <v>#REF!</v>
      </c>
      <c r="GW22" t="e">
        <f>AND('Listado General'!#REF!,"AAAAAF3v7cw=")</f>
        <v>#REF!</v>
      </c>
      <c r="GX22" t="e">
        <f>AND('Listado General'!#REF!,"AAAAAF3v7c0=")</f>
        <v>#REF!</v>
      </c>
      <c r="GY22" t="e">
        <f>AND('Listado General'!#REF!,"AAAAAF3v7c4=")</f>
        <v>#REF!</v>
      </c>
      <c r="GZ22" t="e">
        <f>AND('Listado General'!#REF!,"AAAAAF3v7c8=")</f>
        <v>#REF!</v>
      </c>
      <c r="HA22" t="e">
        <f>AND('Listado General'!#REF!,"AAAAAF3v7dA=")</f>
        <v>#REF!</v>
      </c>
      <c r="HB22" t="e">
        <f>IF('Listado General'!#REF!,"AAAAAF3v7dE=",0)</f>
        <v>#REF!</v>
      </c>
      <c r="HC22" t="e">
        <f>AND('Listado General'!#REF!,"AAAAAF3v7dI=")</f>
        <v>#REF!</v>
      </c>
      <c r="HD22" t="e">
        <f>AND('Listado General'!#REF!,"AAAAAF3v7dM=")</f>
        <v>#REF!</v>
      </c>
      <c r="HE22" t="e">
        <f>AND('Listado General'!#REF!,"AAAAAF3v7dQ=")</f>
        <v>#REF!</v>
      </c>
      <c r="HF22" t="e">
        <f>AND('Listado General'!#REF!,"AAAAAF3v7dU=")</f>
        <v>#REF!</v>
      </c>
      <c r="HG22" t="e">
        <f>AND('Listado General'!#REF!,"AAAAAF3v7dY=")</f>
        <v>#REF!</v>
      </c>
      <c r="HH22" t="e">
        <f>AND('Listado General'!#REF!,"AAAAAF3v7dc=")</f>
        <v>#REF!</v>
      </c>
      <c r="HI22" t="e">
        <f>AND('Listado General'!#REF!,"AAAAAF3v7dg=")</f>
        <v>#REF!</v>
      </c>
      <c r="HJ22" t="e">
        <f>AND('Listado General'!#REF!,"AAAAAF3v7dk=")</f>
        <v>#REF!</v>
      </c>
      <c r="HK22" t="e">
        <f>AND('Listado General'!#REF!,"AAAAAF3v7do=")</f>
        <v>#REF!</v>
      </c>
      <c r="HL22" t="e">
        <f>IF('Listado General'!#REF!,"AAAAAF3v7ds=",0)</f>
        <v>#REF!</v>
      </c>
      <c r="HM22" t="e">
        <f>AND('Listado General'!#REF!,"AAAAAF3v7dw=")</f>
        <v>#REF!</v>
      </c>
      <c r="HN22" t="e">
        <f>AND('Listado General'!#REF!,"AAAAAF3v7d0=")</f>
        <v>#REF!</v>
      </c>
      <c r="HO22" t="e">
        <f>AND('Listado General'!#REF!,"AAAAAF3v7d4=")</f>
        <v>#REF!</v>
      </c>
      <c r="HP22" t="e">
        <f>AND('Listado General'!#REF!,"AAAAAF3v7d8=")</f>
        <v>#REF!</v>
      </c>
      <c r="HQ22" t="e">
        <f>AND('Listado General'!#REF!,"AAAAAF3v7eA=")</f>
        <v>#REF!</v>
      </c>
      <c r="HR22" t="e">
        <f>AND('Listado General'!#REF!,"AAAAAF3v7eE=")</f>
        <v>#REF!</v>
      </c>
      <c r="HS22" t="e">
        <f>AND('Listado General'!#REF!,"AAAAAF3v7eI=")</f>
        <v>#REF!</v>
      </c>
      <c r="HT22" t="e">
        <f>AND('Listado General'!#REF!,"AAAAAF3v7eM=")</f>
        <v>#REF!</v>
      </c>
      <c r="HU22" t="e">
        <f>AND('Listado General'!#REF!,"AAAAAF3v7eQ=")</f>
        <v>#REF!</v>
      </c>
      <c r="HV22" t="e">
        <f>IF('Listado General'!#REF!,"AAAAAF3v7eU=",0)</f>
        <v>#REF!</v>
      </c>
      <c r="HW22" t="e">
        <f>AND('Listado General'!#REF!,"AAAAAF3v7eY=")</f>
        <v>#REF!</v>
      </c>
      <c r="HX22" t="e">
        <f>AND('Listado General'!#REF!,"AAAAAF3v7ec=")</f>
        <v>#REF!</v>
      </c>
      <c r="HY22" t="e">
        <f>AND('Listado General'!#REF!,"AAAAAF3v7eg=")</f>
        <v>#REF!</v>
      </c>
      <c r="HZ22" t="e">
        <f>AND('Listado General'!#REF!,"AAAAAF3v7ek=")</f>
        <v>#REF!</v>
      </c>
      <c r="IA22" t="e">
        <f>AND('Listado General'!#REF!,"AAAAAF3v7eo=")</f>
        <v>#REF!</v>
      </c>
      <c r="IB22" t="e">
        <f>AND('Listado General'!#REF!,"AAAAAF3v7es=")</f>
        <v>#REF!</v>
      </c>
      <c r="IC22" t="e">
        <f>AND('Listado General'!#REF!,"AAAAAF3v7ew=")</f>
        <v>#REF!</v>
      </c>
      <c r="ID22" t="e">
        <f>AND('Listado General'!#REF!,"AAAAAF3v7e0=")</f>
        <v>#REF!</v>
      </c>
      <c r="IE22" t="e">
        <f>AND('Listado General'!#REF!,"AAAAAF3v7e4=")</f>
        <v>#REF!</v>
      </c>
      <c r="IF22" t="e">
        <f>IF('Listado General'!#REF!,"AAAAAF3v7e8=",0)</f>
        <v>#REF!</v>
      </c>
      <c r="IG22" t="e">
        <f>AND('Listado General'!#REF!,"AAAAAF3v7fA=")</f>
        <v>#REF!</v>
      </c>
      <c r="IH22" t="e">
        <f>AND('Listado General'!#REF!,"AAAAAF3v7fE=")</f>
        <v>#REF!</v>
      </c>
      <c r="II22" t="e">
        <f>AND('Listado General'!#REF!,"AAAAAF3v7fI=")</f>
        <v>#REF!</v>
      </c>
      <c r="IJ22" t="e">
        <f>AND('Listado General'!#REF!,"AAAAAF3v7fM=")</f>
        <v>#REF!</v>
      </c>
      <c r="IK22" t="e">
        <f>AND('Listado General'!#REF!,"AAAAAF3v7fQ=")</f>
        <v>#REF!</v>
      </c>
      <c r="IL22" t="e">
        <f>AND('Listado General'!#REF!,"AAAAAF3v7fU=")</f>
        <v>#REF!</v>
      </c>
      <c r="IM22" t="e">
        <f>AND('Listado General'!#REF!,"AAAAAF3v7fY=")</f>
        <v>#REF!</v>
      </c>
      <c r="IN22" t="e">
        <f>AND('Listado General'!#REF!,"AAAAAF3v7fc=")</f>
        <v>#REF!</v>
      </c>
      <c r="IO22" t="e">
        <f>AND('Listado General'!#REF!,"AAAAAF3v7fg=")</f>
        <v>#REF!</v>
      </c>
      <c r="IP22" t="e">
        <f>IF('Listado General'!#REF!,"AAAAAF3v7fk=",0)</f>
        <v>#REF!</v>
      </c>
      <c r="IQ22" t="e">
        <f>AND('Listado General'!#REF!,"AAAAAF3v7fo=")</f>
        <v>#REF!</v>
      </c>
      <c r="IR22" t="e">
        <f>AND('Listado General'!#REF!,"AAAAAF3v7fs=")</f>
        <v>#REF!</v>
      </c>
      <c r="IS22" t="e">
        <f>AND('Listado General'!#REF!,"AAAAAF3v7fw=")</f>
        <v>#REF!</v>
      </c>
      <c r="IT22" t="e">
        <f>AND('Listado General'!#REF!,"AAAAAF3v7f0=")</f>
        <v>#REF!</v>
      </c>
      <c r="IU22" t="e">
        <f>AND('Listado General'!#REF!,"AAAAAF3v7f4=")</f>
        <v>#REF!</v>
      </c>
      <c r="IV22" t="e">
        <f>AND('Listado General'!#REF!,"AAAAAF3v7f8=")</f>
        <v>#REF!</v>
      </c>
    </row>
    <row r="23" spans="1:256" ht="12.75">
      <c r="A23" t="e">
        <f>AND('Listado General'!#REF!,"AAAAAEd93QA=")</f>
        <v>#REF!</v>
      </c>
      <c r="B23" t="e">
        <f>AND('Listado General'!#REF!,"AAAAAEd93QE=")</f>
        <v>#REF!</v>
      </c>
      <c r="C23" t="e">
        <f>AND('Listado General'!#REF!,"AAAAAEd93QI=")</f>
        <v>#REF!</v>
      </c>
      <c r="D23" t="e">
        <f>IF('Listado General'!#REF!,"AAAAAEd93QM=",0)</f>
        <v>#REF!</v>
      </c>
      <c r="E23" t="e">
        <f>AND('Listado General'!#REF!,"AAAAAEd93QQ=")</f>
        <v>#REF!</v>
      </c>
      <c r="F23" t="e">
        <f>AND('Listado General'!#REF!,"AAAAAEd93QU=")</f>
        <v>#REF!</v>
      </c>
      <c r="G23" t="e">
        <f>AND('Listado General'!#REF!,"AAAAAEd93QY=")</f>
        <v>#REF!</v>
      </c>
      <c r="H23" t="e">
        <f>AND('Listado General'!#REF!,"AAAAAEd93Qc=")</f>
        <v>#REF!</v>
      </c>
      <c r="I23" t="e">
        <f>AND('Listado General'!#REF!,"AAAAAEd93Qg=")</f>
        <v>#REF!</v>
      </c>
      <c r="J23" t="e">
        <f>AND('Listado General'!#REF!,"AAAAAEd93Qk=")</f>
        <v>#REF!</v>
      </c>
      <c r="K23" t="e">
        <f>AND('Listado General'!#REF!,"AAAAAEd93Qo=")</f>
        <v>#REF!</v>
      </c>
      <c r="L23" t="e">
        <f>AND('Listado General'!#REF!,"AAAAAEd93Qs=")</f>
        <v>#REF!</v>
      </c>
      <c r="M23" t="e">
        <f>AND('Listado General'!#REF!,"AAAAAEd93Qw=")</f>
        <v>#REF!</v>
      </c>
      <c r="N23" t="e">
        <f>IF('Listado General'!#REF!,"AAAAAEd93Q0=",0)</f>
        <v>#REF!</v>
      </c>
      <c r="O23" t="e">
        <f>AND('Listado General'!#REF!,"AAAAAEd93Q4=")</f>
        <v>#REF!</v>
      </c>
      <c r="P23" t="e">
        <f>AND('Listado General'!#REF!,"AAAAAEd93Q8=")</f>
        <v>#REF!</v>
      </c>
      <c r="Q23" t="e">
        <f>AND('Listado General'!#REF!,"AAAAAEd93RA=")</f>
        <v>#REF!</v>
      </c>
      <c r="R23" t="e">
        <f>AND('Listado General'!#REF!,"AAAAAEd93RE=")</f>
        <v>#REF!</v>
      </c>
      <c r="S23" t="e">
        <f>AND('Listado General'!#REF!,"AAAAAEd93RI=")</f>
        <v>#REF!</v>
      </c>
      <c r="T23" t="e">
        <f>AND('Listado General'!#REF!,"AAAAAEd93RM=")</f>
        <v>#REF!</v>
      </c>
      <c r="U23" t="e">
        <f>AND('Listado General'!#REF!,"AAAAAEd93RQ=")</f>
        <v>#REF!</v>
      </c>
      <c r="V23" t="e">
        <f>AND('Listado General'!#REF!,"AAAAAEd93RU=")</f>
        <v>#REF!</v>
      </c>
      <c r="W23" t="e">
        <f>AND('Listado General'!#REF!,"AAAAAEd93RY=")</f>
        <v>#REF!</v>
      </c>
      <c r="X23" t="e">
        <f>IF('Listado General'!#REF!,"AAAAAEd93Rc=",0)</f>
        <v>#REF!</v>
      </c>
      <c r="Y23" t="e">
        <f>AND('Listado General'!#REF!,"AAAAAEd93Rg=")</f>
        <v>#REF!</v>
      </c>
      <c r="Z23" t="e">
        <f>AND('Listado General'!#REF!,"AAAAAEd93Rk=")</f>
        <v>#REF!</v>
      </c>
      <c r="AA23" t="e">
        <f>AND('Listado General'!#REF!,"AAAAAEd93Ro=")</f>
        <v>#REF!</v>
      </c>
      <c r="AB23" t="e">
        <f>AND('Listado General'!#REF!,"AAAAAEd93Rs=")</f>
        <v>#REF!</v>
      </c>
      <c r="AC23" t="e">
        <f>AND('Listado General'!#REF!,"AAAAAEd93Rw=")</f>
        <v>#REF!</v>
      </c>
      <c r="AD23" t="e">
        <f>AND('Listado General'!#REF!,"AAAAAEd93R0=")</f>
        <v>#REF!</v>
      </c>
      <c r="AE23" t="e">
        <f>AND('Listado General'!#REF!,"AAAAAEd93R4=")</f>
        <v>#REF!</v>
      </c>
      <c r="AF23" t="e">
        <f>AND('Listado General'!#REF!,"AAAAAEd93R8=")</f>
        <v>#REF!</v>
      </c>
      <c r="AG23" t="e">
        <f>AND('Listado General'!#REF!,"AAAAAEd93SA=")</f>
        <v>#REF!</v>
      </c>
      <c r="AH23" t="e">
        <f>IF('Listado General'!#REF!,"AAAAAEd93SE=",0)</f>
        <v>#REF!</v>
      </c>
      <c r="AI23" t="e">
        <f>AND('Listado General'!#REF!,"AAAAAEd93SI=")</f>
        <v>#REF!</v>
      </c>
      <c r="AJ23" t="e">
        <f>AND('Listado General'!#REF!,"AAAAAEd93SM=")</f>
        <v>#REF!</v>
      </c>
      <c r="AK23" t="e">
        <f>AND('Listado General'!#REF!,"AAAAAEd93SQ=")</f>
        <v>#REF!</v>
      </c>
      <c r="AL23" t="e">
        <f>AND('Listado General'!#REF!,"AAAAAEd93SU=")</f>
        <v>#REF!</v>
      </c>
      <c r="AM23" t="e">
        <f>AND('Listado General'!#REF!,"AAAAAEd93SY=")</f>
        <v>#REF!</v>
      </c>
      <c r="AN23" t="e">
        <f>AND('Listado General'!#REF!,"AAAAAEd93Sc=")</f>
        <v>#REF!</v>
      </c>
      <c r="AO23" t="e">
        <f>AND('Listado General'!#REF!,"AAAAAEd93Sg=")</f>
        <v>#REF!</v>
      </c>
      <c r="AP23" t="e">
        <f>AND('Listado General'!#REF!,"AAAAAEd93Sk=")</f>
        <v>#REF!</v>
      </c>
      <c r="AQ23" t="e">
        <f>AND('Listado General'!#REF!,"AAAAAEd93So=")</f>
        <v>#REF!</v>
      </c>
      <c r="AR23" t="e">
        <f>IF('Listado General'!#REF!,"AAAAAEd93Ss=",0)</f>
        <v>#REF!</v>
      </c>
      <c r="AS23" t="e">
        <f>AND('Listado General'!#REF!,"AAAAAEd93Sw=")</f>
        <v>#REF!</v>
      </c>
      <c r="AT23" t="e">
        <f>AND('Listado General'!#REF!,"AAAAAEd93S0=")</f>
        <v>#REF!</v>
      </c>
      <c r="AU23" t="e">
        <f>AND('Listado General'!#REF!,"AAAAAEd93S4=")</f>
        <v>#REF!</v>
      </c>
      <c r="AV23" t="e">
        <f>AND('Listado General'!#REF!,"AAAAAEd93S8=")</f>
        <v>#REF!</v>
      </c>
      <c r="AW23" t="e">
        <f>AND('Listado General'!#REF!,"AAAAAEd93TA=")</f>
        <v>#REF!</v>
      </c>
      <c r="AX23" t="e">
        <f>AND('Listado General'!#REF!,"AAAAAEd93TE=")</f>
        <v>#REF!</v>
      </c>
      <c r="AY23" t="e">
        <f>AND('Listado General'!#REF!,"AAAAAEd93TI=")</f>
        <v>#REF!</v>
      </c>
      <c r="AZ23" t="e">
        <f>AND('Listado General'!#REF!,"AAAAAEd93TM=")</f>
        <v>#REF!</v>
      </c>
      <c r="BA23" t="e">
        <f>AND('Listado General'!#REF!,"AAAAAEd93TQ=")</f>
        <v>#REF!</v>
      </c>
      <c r="BB23" t="e">
        <f>IF('Listado General'!#REF!,"AAAAAEd93TU=",0)</f>
        <v>#REF!</v>
      </c>
      <c r="BC23" t="e">
        <f>AND('Listado General'!#REF!,"AAAAAEd93TY=")</f>
        <v>#REF!</v>
      </c>
      <c r="BD23" t="e">
        <f>AND('Listado General'!#REF!,"AAAAAEd93Tc=")</f>
        <v>#REF!</v>
      </c>
      <c r="BE23" t="e">
        <f>AND('Listado General'!#REF!,"AAAAAEd93Tg=")</f>
        <v>#REF!</v>
      </c>
      <c r="BF23" t="e">
        <f>AND('Listado General'!#REF!,"AAAAAEd93Tk=")</f>
        <v>#REF!</v>
      </c>
      <c r="BG23" t="e">
        <f>AND('Listado General'!#REF!,"AAAAAEd93To=")</f>
        <v>#REF!</v>
      </c>
      <c r="BH23" t="e">
        <f>AND('Listado General'!#REF!,"AAAAAEd93Ts=")</f>
        <v>#REF!</v>
      </c>
      <c r="BI23" t="e">
        <f>AND('Listado General'!#REF!,"AAAAAEd93Tw=")</f>
        <v>#REF!</v>
      </c>
      <c r="BJ23" t="e">
        <f>AND('Listado General'!#REF!,"AAAAAEd93T0=")</f>
        <v>#REF!</v>
      </c>
      <c r="BK23" t="e">
        <f>AND('Listado General'!#REF!,"AAAAAEd93T4=")</f>
        <v>#REF!</v>
      </c>
      <c r="BL23" t="e">
        <f>IF('Listado General'!#REF!,"AAAAAEd93T8=",0)</f>
        <v>#REF!</v>
      </c>
      <c r="BM23" t="e">
        <f>AND('Listado General'!#REF!,"AAAAAEd93UA=")</f>
        <v>#REF!</v>
      </c>
      <c r="BN23" t="e">
        <f>AND('Listado General'!#REF!,"AAAAAEd93UE=")</f>
        <v>#REF!</v>
      </c>
      <c r="BO23" t="e">
        <f>AND('Listado General'!#REF!,"AAAAAEd93UI=")</f>
        <v>#REF!</v>
      </c>
      <c r="BP23" t="e">
        <f>AND('Listado General'!#REF!,"AAAAAEd93UM=")</f>
        <v>#REF!</v>
      </c>
      <c r="BQ23" t="e">
        <f>AND('Listado General'!#REF!,"AAAAAEd93UQ=")</f>
        <v>#REF!</v>
      </c>
      <c r="BR23" t="e">
        <f>AND('Listado General'!#REF!,"AAAAAEd93UU=")</f>
        <v>#REF!</v>
      </c>
      <c r="BS23" t="e">
        <f>AND('Listado General'!#REF!,"AAAAAEd93UY=")</f>
        <v>#REF!</v>
      </c>
      <c r="BT23" t="e">
        <f>AND('Listado General'!#REF!,"AAAAAEd93Uc=")</f>
        <v>#REF!</v>
      </c>
      <c r="BU23" t="e">
        <f>AND('Listado General'!#REF!,"AAAAAEd93Ug=")</f>
        <v>#REF!</v>
      </c>
      <c r="BV23" t="e">
        <f>IF('Listado General'!#REF!,"AAAAAEd93Uk=",0)</f>
        <v>#REF!</v>
      </c>
      <c r="BW23" t="e">
        <f>AND('Listado General'!#REF!,"AAAAAEd93Uo=")</f>
        <v>#REF!</v>
      </c>
      <c r="BX23" t="e">
        <f>AND('Listado General'!#REF!,"AAAAAEd93Us=")</f>
        <v>#REF!</v>
      </c>
      <c r="BY23" t="e">
        <f>AND('Listado General'!#REF!,"AAAAAEd93Uw=")</f>
        <v>#REF!</v>
      </c>
      <c r="BZ23" t="e">
        <f>AND('Listado General'!#REF!,"AAAAAEd93U0=")</f>
        <v>#REF!</v>
      </c>
      <c r="CA23" t="e">
        <f>AND('Listado General'!#REF!,"AAAAAEd93U4=")</f>
        <v>#REF!</v>
      </c>
      <c r="CB23" t="e">
        <f>AND('Listado General'!#REF!,"AAAAAEd93U8=")</f>
        <v>#REF!</v>
      </c>
      <c r="CC23" t="e">
        <f>AND('Listado General'!#REF!,"AAAAAEd93VA=")</f>
        <v>#REF!</v>
      </c>
      <c r="CD23" t="e">
        <f>AND('Listado General'!#REF!,"AAAAAEd93VE=")</f>
        <v>#REF!</v>
      </c>
      <c r="CE23" t="e">
        <f>AND('Listado General'!#REF!,"AAAAAEd93VI=")</f>
        <v>#REF!</v>
      </c>
      <c r="CF23" t="e">
        <f>IF('Listado General'!#REF!,"AAAAAEd93VM=",0)</f>
        <v>#REF!</v>
      </c>
      <c r="CG23" t="e">
        <f>AND('Listado General'!#REF!,"AAAAAEd93VQ=")</f>
        <v>#REF!</v>
      </c>
      <c r="CH23" t="e">
        <f>AND('Listado General'!#REF!,"AAAAAEd93VU=")</f>
        <v>#REF!</v>
      </c>
      <c r="CI23" t="e">
        <f>AND('Listado General'!#REF!,"AAAAAEd93VY=")</f>
        <v>#REF!</v>
      </c>
      <c r="CJ23" t="e">
        <f>AND('Listado General'!#REF!,"AAAAAEd93Vc=")</f>
        <v>#REF!</v>
      </c>
      <c r="CK23" t="e">
        <f>AND('Listado General'!#REF!,"AAAAAEd93Vg=")</f>
        <v>#REF!</v>
      </c>
      <c r="CL23" t="e">
        <f>AND('Listado General'!#REF!,"AAAAAEd93Vk=")</f>
        <v>#REF!</v>
      </c>
      <c r="CM23" t="e">
        <f>AND('Listado General'!#REF!,"AAAAAEd93Vo=")</f>
        <v>#REF!</v>
      </c>
      <c r="CN23" t="e">
        <f>AND('Listado General'!#REF!,"AAAAAEd93Vs=")</f>
        <v>#REF!</v>
      </c>
      <c r="CO23" t="e">
        <f>AND('Listado General'!#REF!,"AAAAAEd93Vw=")</f>
        <v>#REF!</v>
      </c>
      <c r="CP23" t="e">
        <f>IF('Listado General'!#REF!,"AAAAAEd93V0=",0)</f>
        <v>#REF!</v>
      </c>
      <c r="CQ23" t="e">
        <f>AND('Listado General'!#REF!,"AAAAAEd93V4=")</f>
        <v>#REF!</v>
      </c>
      <c r="CR23" t="e">
        <f>AND('Listado General'!#REF!,"AAAAAEd93V8=")</f>
        <v>#REF!</v>
      </c>
      <c r="CS23" t="e">
        <f>AND('Listado General'!#REF!,"AAAAAEd93WA=")</f>
        <v>#REF!</v>
      </c>
      <c r="CT23" t="e">
        <f>AND('Listado General'!#REF!,"AAAAAEd93WE=")</f>
        <v>#REF!</v>
      </c>
      <c r="CU23" t="e">
        <f>AND('Listado General'!#REF!,"AAAAAEd93WI=")</f>
        <v>#REF!</v>
      </c>
      <c r="CV23" t="e">
        <f>AND('Listado General'!#REF!,"AAAAAEd93WM=")</f>
        <v>#REF!</v>
      </c>
      <c r="CW23" t="e">
        <f>AND('Listado General'!#REF!,"AAAAAEd93WQ=")</f>
        <v>#REF!</v>
      </c>
      <c r="CX23" t="e">
        <f>AND('Listado General'!#REF!,"AAAAAEd93WU=")</f>
        <v>#REF!</v>
      </c>
      <c r="CY23" t="e">
        <f>AND('Listado General'!#REF!,"AAAAAEd93WY=")</f>
        <v>#REF!</v>
      </c>
      <c r="CZ23" t="e">
        <f>IF('Listado General'!#REF!,"AAAAAEd93Wc=",0)</f>
        <v>#REF!</v>
      </c>
      <c r="DA23" t="e">
        <f>AND('Listado General'!#REF!,"AAAAAEd93Wg=")</f>
        <v>#REF!</v>
      </c>
      <c r="DB23" t="e">
        <f>AND('Listado General'!#REF!,"AAAAAEd93Wk=")</f>
        <v>#REF!</v>
      </c>
      <c r="DC23" t="e">
        <f>AND('Listado General'!#REF!,"AAAAAEd93Wo=")</f>
        <v>#REF!</v>
      </c>
      <c r="DD23" t="e">
        <f>AND('Listado General'!#REF!,"AAAAAEd93Ws=")</f>
        <v>#REF!</v>
      </c>
      <c r="DE23" t="e">
        <f>AND('Listado General'!#REF!,"AAAAAEd93Ww=")</f>
        <v>#REF!</v>
      </c>
      <c r="DF23" t="e">
        <f>AND('Listado General'!#REF!,"AAAAAEd93W0=")</f>
        <v>#REF!</v>
      </c>
      <c r="DG23" t="e">
        <f>AND('Listado General'!#REF!,"AAAAAEd93W4=")</f>
        <v>#REF!</v>
      </c>
      <c r="DH23" t="e">
        <f>AND('Listado General'!#REF!,"AAAAAEd93W8=")</f>
        <v>#REF!</v>
      </c>
      <c r="DI23" t="e">
        <f>AND('Listado General'!#REF!,"AAAAAEd93XA=")</f>
        <v>#REF!</v>
      </c>
      <c r="DJ23" t="e">
        <f>IF('Listado General'!#REF!,"AAAAAEd93XE=",0)</f>
        <v>#REF!</v>
      </c>
      <c r="DK23" t="e">
        <f>AND('Listado General'!#REF!,"AAAAAEd93XI=")</f>
        <v>#REF!</v>
      </c>
      <c r="DL23" t="e">
        <f>AND('Listado General'!#REF!,"AAAAAEd93XM=")</f>
        <v>#REF!</v>
      </c>
      <c r="DM23" t="e">
        <f>AND('Listado General'!#REF!,"AAAAAEd93XQ=")</f>
        <v>#REF!</v>
      </c>
      <c r="DN23" t="e">
        <f>AND('Listado General'!#REF!,"AAAAAEd93XU=")</f>
        <v>#REF!</v>
      </c>
      <c r="DO23" t="e">
        <f>AND('Listado General'!#REF!,"AAAAAEd93XY=")</f>
        <v>#REF!</v>
      </c>
      <c r="DP23" t="e">
        <f>AND('Listado General'!#REF!,"AAAAAEd93Xc=")</f>
        <v>#REF!</v>
      </c>
      <c r="DQ23" t="e">
        <f>AND('Listado General'!#REF!,"AAAAAEd93Xg=")</f>
        <v>#REF!</v>
      </c>
      <c r="DR23" t="e">
        <f>AND('Listado General'!#REF!,"AAAAAEd93Xk=")</f>
        <v>#REF!</v>
      </c>
      <c r="DS23" t="e">
        <f>AND('Listado General'!#REF!,"AAAAAEd93Xo=")</f>
        <v>#REF!</v>
      </c>
      <c r="DT23" t="e">
        <f>IF('Listado General'!#REF!,"AAAAAEd93Xs=",0)</f>
        <v>#REF!</v>
      </c>
      <c r="DU23" t="e">
        <f>AND('Listado General'!#REF!,"AAAAAEd93Xw=")</f>
        <v>#REF!</v>
      </c>
      <c r="DV23" t="e">
        <f>AND('Listado General'!#REF!,"AAAAAEd93X0=")</f>
        <v>#REF!</v>
      </c>
      <c r="DW23" t="e">
        <f>AND('Listado General'!#REF!,"AAAAAEd93X4=")</f>
        <v>#REF!</v>
      </c>
      <c r="DX23" t="e">
        <f>AND('Listado General'!#REF!,"AAAAAEd93X8=")</f>
        <v>#REF!</v>
      </c>
      <c r="DY23" t="e">
        <f>AND('Listado General'!#REF!,"AAAAAEd93YA=")</f>
        <v>#REF!</v>
      </c>
      <c r="DZ23" t="e">
        <f>AND('Listado General'!#REF!,"AAAAAEd93YE=")</f>
        <v>#REF!</v>
      </c>
      <c r="EA23" t="e">
        <f>AND('Listado General'!#REF!,"AAAAAEd93YI=")</f>
        <v>#REF!</v>
      </c>
      <c r="EB23" t="e">
        <f>AND('Listado General'!#REF!,"AAAAAEd93YM=")</f>
        <v>#REF!</v>
      </c>
      <c r="EC23" t="e">
        <f>AND('Listado General'!#REF!,"AAAAAEd93YQ=")</f>
        <v>#REF!</v>
      </c>
      <c r="ED23" t="e">
        <f>IF('Listado General'!#REF!,"AAAAAEd93YU=",0)</f>
        <v>#REF!</v>
      </c>
      <c r="EE23" t="e">
        <f>AND('Listado General'!#REF!,"AAAAAEd93YY=")</f>
        <v>#REF!</v>
      </c>
      <c r="EF23" t="e">
        <f>AND('Listado General'!#REF!,"AAAAAEd93Yc=")</f>
        <v>#REF!</v>
      </c>
      <c r="EG23" t="e">
        <f>AND('Listado General'!#REF!,"AAAAAEd93Yg=")</f>
        <v>#REF!</v>
      </c>
      <c r="EH23" t="e">
        <f>AND('Listado General'!#REF!,"AAAAAEd93Yk=")</f>
        <v>#REF!</v>
      </c>
      <c r="EI23" t="e">
        <f>AND('Listado General'!#REF!,"AAAAAEd93Yo=")</f>
        <v>#REF!</v>
      </c>
      <c r="EJ23" t="e">
        <f>AND('Listado General'!#REF!,"AAAAAEd93Ys=")</f>
        <v>#REF!</v>
      </c>
      <c r="EK23" t="e">
        <f>AND('Listado General'!#REF!,"AAAAAEd93Yw=")</f>
        <v>#REF!</v>
      </c>
      <c r="EL23" t="e">
        <f>AND('Listado General'!#REF!,"AAAAAEd93Y0=")</f>
        <v>#REF!</v>
      </c>
      <c r="EM23" t="e">
        <f>AND('Listado General'!#REF!,"AAAAAEd93Y4=")</f>
        <v>#REF!</v>
      </c>
      <c r="EN23" t="e">
        <f>IF('Listado General'!#REF!,"AAAAAEd93Y8=",0)</f>
        <v>#REF!</v>
      </c>
      <c r="EO23" t="e">
        <f>AND('Listado General'!#REF!,"AAAAAEd93ZA=")</f>
        <v>#REF!</v>
      </c>
      <c r="EP23" t="e">
        <f>AND('Listado General'!#REF!,"AAAAAEd93ZE=")</f>
        <v>#REF!</v>
      </c>
      <c r="EQ23" t="e">
        <f>AND('Listado General'!#REF!,"AAAAAEd93ZI=")</f>
        <v>#REF!</v>
      </c>
      <c r="ER23" t="e">
        <f>AND('Listado General'!#REF!,"AAAAAEd93ZM=")</f>
        <v>#REF!</v>
      </c>
      <c r="ES23" t="e">
        <f>AND('Listado General'!#REF!,"AAAAAEd93ZQ=")</f>
        <v>#REF!</v>
      </c>
      <c r="ET23" t="e">
        <f>AND('Listado General'!#REF!,"AAAAAEd93ZU=")</f>
        <v>#REF!</v>
      </c>
      <c r="EU23" t="e">
        <f>AND('Listado General'!#REF!,"AAAAAEd93ZY=")</f>
        <v>#REF!</v>
      </c>
      <c r="EV23" t="e">
        <f>AND('Listado General'!#REF!,"AAAAAEd93Zc=")</f>
        <v>#REF!</v>
      </c>
      <c r="EW23" t="e">
        <f>AND('Listado General'!#REF!,"AAAAAEd93Zg=")</f>
        <v>#REF!</v>
      </c>
      <c r="EX23" t="e">
        <f>IF('Listado General'!#REF!,"AAAAAEd93Zk=",0)</f>
        <v>#REF!</v>
      </c>
      <c r="EY23" t="e">
        <f>AND('Listado General'!#REF!,"AAAAAEd93Zo=")</f>
        <v>#REF!</v>
      </c>
      <c r="EZ23" t="e">
        <f>AND('Listado General'!#REF!,"AAAAAEd93Zs=")</f>
        <v>#REF!</v>
      </c>
      <c r="FA23" t="e">
        <f>AND('Listado General'!#REF!,"AAAAAEd93Zw=")</f>
        <v>#REF!</v>
      </c>
      <c r="FB23" t="e">
        <f>AND('Listado General'!#REF!,"AAAAAEd93Z0=")</f>
        <v>#REF!</v>
      </c>
      <c r="FC23" t="e">
        <f>AND('Listado General'!#REF!,"AAAAAEd93Z4=")</f>
        <v>#REF!</v>
      </c>
      <c r="FD23" t="e">
        <f>AND('Listado General'!#REF!,"AAAAAEd93Z8=")</f>
        <v>#REF!</v>
      </c>
      <c r="FE23" t="e">
        <f>AND('Listado General'!#REF!,"AAAAAEd93aA=")</f>
        <v>#REF!</v>
      </c>
      <c r="FF23" t="e">
        <f>AND('Listado General'!#REF!,"AAAAAEd93aE=")</f>
        <v>#REF!</v>
      </c>
      <c r="FG23" t="e">
        <f>AND('Listado General'!#REF!,"AAAAAEd93aI=")</f>
        <v>#REF!</v>
      </c>
      <c r="FH23" t="e">
        <f>IF('Listado General'!#REF!,"AAAAAEd93aM=",0)</f>
        <v>#REF!</v>
      </c>
      <c r="FI23" t="e">
        <f>AND('Listado General'!#REF!,"AAAAAEd93aQ=")</f>
        <v>#REF!</v>
      </c>
      <c r="FJ23" t="e">
        <f>AND('Listado General'!#REF!,"AAAAAEd93aU=")</f>
        <v>#REF!</v>
      </c>
      <c r="FK23" t="e">
        <f>AND('Listado General'!#REF!,"AAAAAEd93aY=")</f>
        <v>#REF!</v>
      </c>
      <c r="FL23" t="e">
        <f>AND('Listado General'!#REF!,"AAAAAEd93ac=")</f>
        <v>#REF!</v>
      </c>
      <c r="FM23" t="e">
        <f>AND('Listado General'!#REF!,"AAAAAEd93ag=")</f>
        <v>#REF!</v>
      </c>
      <c r="FN23" t="e">
        <f>AND('Listado General'!#REF!,"AAAAAEd93ak=")</f>
        <v>#REF!</v>
      </c>
      <c r="FO23" t="e">
        <f>AND('Listado General'!#REF!,"AAAAAEd93ao=")</f>
        <v>#REF!</v>
      </c>
      <c r="FP23" t="e">
        <f>AND('Listado General'!#REF!,"AAAAAEd93as=")</f>
        <v>#REF!</v>
      </c>
      <c r="FQ23" t="e">
        <f>AND('Listado General'!#REF!,"AAAAAEd93aw=")</f>
        <v>#REF!</v>
      </c>
      <c r="FR23" t="e">
        <f>IF('Listado General'!#REF!,"AAAAAEd93a0=",0)</f>
        <v>#REF!</v>
      </c>
      <c r="FS23" t="e">
        <f>AND('Listado General'!#REF!,"AAAAAEd93a4=")</f>
        <v>#REF!</v>
      </c>
      <c r="FT23" t="e">
        <f>AND('Listado General'!#REF!,"AAAAAEd93a8=")</f>
        <v>#REF!</v>
      </c>
      <c r="FU23" t="e">
        <f>AND('Listado General'!#REF!,"AAAAAEd93bA=")</f>
        <v>#REF!</v>
      </c>
      <c r="FV23" t="e">
        <f>AND('Listado General'!#REF!,"AAAAAEd93bE=")</f>
        <v>#REF!</v>
      </c>
      <c r="FW23" t="e">
        <f>AND('Listado General'!#REF!,"AAAAAEd93bI=")</f>
        <v>#REF!</v>
      </c>
      <c r="FX23" t="e">
        <f>AND('Listado General'!#REF!,"AAAAAEd93bM=")</f>
        <v>#REF!</v>
      </c>
      <c r="FY23" t="e">
        <f>AND('Listado General'!#REF!,"AAAAAEd93bQ=")</f>
        <v>#REF!</v>
      </c>
      <c r="FZ23" t="e">
        <f>AND('Listado General'!#REF!,"AAAAAEd93bU=")</f>
        <v>#REF!</v>
      </c>
      <c r="GA23" t="e">
        <f>AND('Listado General'!#REF!,"AAAAAEd93bY=")</f>
        <v>#REF!</v>
      </c>
      <c r="GB23" t="e">
        <f>IF('Listado General'!#REF!,"AAAAAEd93bc=",0)</f>
        <v>#REF!</v>
      </c>
      <c r="GC23" t="e">
        <f>AND('Listado General'!#REF!,"AAAAAEd93bg=")</f>
        <v>#REF!</v>
      </c>
      <c r="GD23" t="e">
        <f>AND('Listado General'!#REF!,"AAAAAEd93bk=")</f>
        <v>#REF!</v>
      </c>
      <c r="GE23" t="e">
        <f>AND('Listado General'!#REF!,"AAAAAEd93bo=")</f>
        <v>#REF!</v>
      </c>
      <c r="GF23" t="e">
        <f>AND('Listado General'!#REF!,"AAAAAEd93bs=")</f>
        <v>#REF!</v>
      </c>
      <c r="GG23" t="e">
        <f>AND('Listado General'!#REF!,"AAAAAEd93bw=")</f>
        <v>#REF!</v>
      </c>
      <c r="GH23" t="e">
        <f>AND('Listado General'!#REF!,"AAAAAEd93b0=")</f>
        <v>#REF!</v>
      </c>
      <c r="GI23" t="e">
        <f>AND('Listado General'!#REF!,"AAAAAEd93b4=")</f>
        <v>#REF!</v>
      </c>
      <c r="GJ23" t="e">
        <f>AND('Listado General'!#REF!,"AAAAAEd93b8=")</f>
        <v>#REF!</v>
      </c>
      <c r="GK23" t="e">
        <f>AND('Listado General'!#REF!,"AAAAAEd93cA=")</f>
        <v>#REF!</v>
      </c>
      <c r="GL23" t="e">
        <f>IF('Listado General'!#REF!,"AAAAAEd93cE=",0)</f>
        <v>#REF!</v>
      </c>
      <c r="GM23" t="e">
        <f>AND('Listado General'!#REF!,"AAAAAEd93cI=")</f>
        <v>#REF!</v>
      </c>
      <c r="GN23" t="e">
        <f>AND('Listado General'!#REF!,"AAAAAEd93cM=")</f>
        <v>#REF!</v>
      </c>
      <c r="GO23" t="e">
        <f>AND('Listado General'!#REF!,"AAAAAEd93cQ=")</f>
        <v>#REF!</v>
      </c>
      <c r="GP23" t="e">
        <f>AND('Listado General'!#REF!,"AAAAAEd93cU=")</f>
        <v>#REF!</v>
      </c>
      <c r="GQ23" t="e">
        <f>AND('Listado General'!#REF!,"AAAAAEd93cY=")</f>
        <v>#REF!</v>
      </c>
      <c r="GR23" t="e">
        <f>AND('Listado General'!#REF!,"AAAAAEd93cc=")</f>
        <v>#REF!</v>
      </c>
      <c r="GS23" t="e">
        <f>AND('Listado General'!#REF!,"AAAAAEd93cg=")</f>
        <v>#REF!</v>
      </c>
      <c r="GT23" t="e">
        <f>AND('Listado General'!#REF!,"AAAAAEd93ck=")</f>
        <v>#REF!</v>
      </c>
      <c r="GU23" t="e">
        <f>AND('Listado General'!#REF!,"AAAAAEd93co=")</f>
        <v>#REF!</v>
      </c>
      <c r="GV23" t="e">
        <f>IF('Listado General'!#REF!,"AAAAAEd93cs=",0)</f>
        <v>#REF!</v>
      </c>
      <c r="GW23" t="e">
        <f>AND('Listado General'!#REF!,"AAAAAEd93cw=")</f>
        <v>#REF!</v>
      </c>
      <c r="GX23" t="e">
        <f>AND('Listado General'!#REF!,"AAAAAEd93c0=")</f>
        <v>#REF!</v>
      </c>
      <c r="GY23" t="e">
        <f>AND('Listado General'!#REF!,"AAAAAEd93c4=")</f>
        <v>#REF!</v>
      </c>
      <c r="GZ23" t="e">
        <f>AND('Listado General'!#REF!,"AAAAAEd93c8=")</f>
        <v>#REF!</v>
      </c>
      <c r="HA23" t="e">
        <f>AND('Listado General'!#REF!,"AAAAAEd93dA=")</f>
        <v>#REF!</v>
      </c>
      <c r="HB23" t="e">
        <f>AND('Listado General'!#REF!,"AAAAAEd93dE=")</f>
        <v>#REF!</v>
      </c>
      <c r="HC23" t="e">
        <f>AND('Listado General'!#REF!,"AAAAAEd93dI=")</f>
        <v>#REF!</v>
      </c>
      <c r="HD23" t="e">
        <f>AND('Listado General'!#REF!,"AAAAAEd93dM=")</f>
        <v>#REF!</v>
      </c>
      <c r="HE23" t="e">
        <f>AND('Listado General'!#REF!,"AAAAAEd93dQ=")</f>
        <v>#REF!</v>
      </c>
      <c r="HF23" t="e">
        <f>IF('Listado General'!#REF!,"AAAAAEd93dU=",0)</f>
        <v>#REF!</v>
      </c>
      <c r="HG23" t="e">
        <f>AND('Listado General'!#REF!,"AAAAAEd93dY=")</f>
        <v>#REF!</v>
      </c>
      <c r="HH23" t="e">
        <f>AND('Listado General'!#REF!,"AAAAAEd93dc=")</f>
        <v>#REF!</v>
      </c>
      <c r="HI23" t="e">
        <f>AND('Listado General'!#REF!,"AAAAAEd93dg=")</f>
        <v>#REF!</v>
      </c>
      <c r="HJ23" t="e">
        <f>AND('Listado General'!#REF!,"AAAAAEd93dk=")</f>
        <v>#REF!</v>
      </c>
      <c r="HK23" t="e">
        <f>AND('Listado General'!#REF!,"AAAAAEd93do=")</f>
        <v>#REF!</v>
      </c>
      <c r="HL23" t="e">
        <f>AND('Listado General'!#REF!,"AAAAAEd93ds=")</f>
        <v>#REF!</v>
      </c>
      <c r="HM23" t="e">
        <f>AND('Listado General'!#REF!,"AAAAAEd93dw=")</f>
        <v>#REF!</v>
      </c>
      <c r="HN23" t="e">
        <f>AND('Listado General'!#REF!,"AAAAAEd93d0=")</f>
        <v>#REF!</v>
      </c>
      <c r="HO23" t="e">
        <f>AND('Listado General'!#REF!,"AAAAAEd93d4=")</f>
        <v>#REF!</v>
      </c>
      <c r="HP23" t="e">
        <f>IF('Listado General'!#REF!,"AAAAAEd93d8=",0)</f>
        <v>#REF!</v>
      </c>
      <c r="HQ23" t="e">
        <f>AND('Listado General'!#REF!,"AAAAAEd93eA=")</f>
        <v>#REF!</v>
      </c>
      <c r="HR23" t="e">
        <f>AND('Listado General'!#REF!,"AAAAAEd93eE=")</f>
        <v>#REF!</v>
      </c>
      <c r="HS23" t="e">
        <f>AND('Listado General'!#REF!,"AAAAAEd93eI=")</f>
        <v>#REF!</v>
      </c>
      <c r="HT23" t="e">
        <f>AND('Listado General'!#REF!,"AAAAAEd93eM=")</f>
        <v>#REF!</v>
      </c>
      <c r="HU23" t="e">
        <f>AND('Listado General'!#REF!,"AAAAAEd93eQ=")</f>
        <v>#REF!</v>
      </c>
      <c r="HV23" t="e">
        <f>AND('Listado General'!#REF!,"AAAAAEd93eU=")</f>
        <v>#REF!</v>
      </c>
      <c r="HW23" t="e">
        <f>AND('Listado General'!#REF!,"AAAAAEd93eY=")</f>
        <v>#REF!</v>
      </c>
      <c r="HX23" t="e">
        <f>AND('Listado General'!#REF!,"AAAAAEd93ec=")</f>
        <v>#REF!</v>
      </c>
      <c r="HY23" t="e">
        <f>AND('Listado General'!#REF!,"AAAAAEd93eg=")</f>
        <v>#REF!</v>
      </c>
      <c r="HZ23" t="e">
        <f>IF('Listado General'!#REF!,"AAAAAEd93ek=",0)</f>
        <v>#REF!</v>
      </c>
      <c r="IA23" t="e">
        <f>AND('Listado General'!#REF!,"AAAAAEd93eo=")</f>
        <v>#REF!</v>
      </c>
      <c r="IB23" t="e">
        <f>AND('Listado General'!#REF!,"AAAAAEd93es=")</f>
        <v>#REF!</v>
      </c>
      <c r="IC23" t="e">
        <f>AND('Listado General'!#REF!,"AAAAAEd93ew=")</f>
        <v>#REF!</v>
      </c>
      <c r="ID23" t="e">
        <f>AND('Listado General'!#REF!,"AAAAAEd93e0=")</f>
        <v>#REF!</v>
      </c>
      <c r="IE23" t="e">
        <f>AND('Listado General'!#REF!,"AAAAAEd93e4=")</f>
        <v>#REF!</v>
      </c>
      <c r="IF23" t="e">
        <f>AND('Listado General'!#REF!,"AAAAAEd93e8=")</f>
        <v>#REF!</v>
      </c>
      <c r="IG23" t="e">
        <f>AND('Listado General'!#REF!,"AAAAAEd93fA=")</f>
        <v>#REF!</v>
      </c>
      <c r="IH23" t="e">
        <f>AND('Listado General'!#REF!,"AAAAAEd93fE=")</f>
        <v>#REF!</v>
      </c>
      <c r="II23" t="e">
        <f>AND('Listado General'!#REF!,"AAAAAEd93fI=")</f>
        <v>#REF!</v>
      </c>
      <c r="IJ23" t="e">
        <f>IF('Listado General'!#REF!,"AAAAAEd93fM=",0)</f>
        <v>#REF!</v>
      </c>
      <c r="IK23" t="e">
        <f>AND('Listado General'!#REF!,"AAAAAEd93fQ=")</f>
        <v>#REF!</v>
      </c>
      <c r="IL23" t="e">
        <f>AND('Listado General'!#REF!,"AAAAAEd93fU=")</f>
        <v>#REF!</v>
      </c>
      <c r="IM23" t="e">
        <f>AND('Listado General'!#REF!,"AAAAAEd93fY=")</f>
        <v>#REF!</v>
      </c>
      <c r="IN23" t="e">
        <f>AND('Listado General'!#REF!,"AAAAAEd93fc=")</f>
        <v>#REF!</v>
      </c>
      <c r="IO23" t="e">
        <f>AND('Listado General'!#REF!,"AAAAAEd93fg=")</f>
        <v>#REF!</v>
      </c>
      <c r="IP23" t="e">
        <f>AND('Listado General'!#REF!,"AAAAAEd93fk=")</f>
        <v>#REF!</v>
      </c>
      <c r="IQ23" t="e">
        <f>AND('Listado General'!#REF!,"AAAAAEd93fo=")</f>
        <v>#REF!</v>
      </c>
      <c r="IR23" t="e">
        <f>AND('Listado General'!#REF!,"AAAAAEd93fs=")</f>
        <v>#REF!</v>
      </c>
      <c r="IS23" t="e">
        <f>AND('Listado General'!#REF!,"AAAAAEd93fw=")</f>
        <v>#REF!</v>
      </c>
      <c r="IT23" t="e">
        <f>IF('Listado General'!#REF!,"AAAAAEd93f0=",0)</f>
        <v>#REF!</v>
      </c>
      <c r="IU23" t="e">
        <f>AND('Listado General'!#REF!,"AAAAAEd93f4=")</f>
        <v>#REF!</v>
      </c>
      <c r="IV23" t="e">
        <f>AND('Listado General'!#REF!,"AAAAAEd93f8=")</f>
        <v>#REF!</v>
      </c>
    </row>
    <row r="24" spans="1:256" ht="12.75">
      <c r="A24" t="e">
        <f>AND('Listado General'!#REF!,"AAAAAH7b8gA=")</f>
        <v>#REF!</v>
      </c>
      <c r="B24" t="e">
        <f>AND('Listado General'!#REF!,"AAAAAH7b8gE=")</f>
        <v>#REF!</v>
      </c>
      <c r="C24" t="e">
        <f>AND('Listado General'!#REF!,"AAAAAH7b8gI=")</f>
        <v>#REF!</v>
      </c>
      <c r="D24" t="e">
        <f>AND('Listado General'!#REF!,"AAAAAH7b8gM=")</f>
        <v>#REF!</v>
      </c>
      <c r="E24" t="e">
        <f>AND('Listado General'!#REF!,"AAAAAH7b8gQ=")</f>
        <v>#REF!</v>
      </c>
      <c r="F24" t="e">
        <f>AND('Listado General'!#REF!,"AAAAAH7b8gU=")</f>
        <v>#REF!</v>
      </c>
      <c r="G24" t="e">
        <f>AND('Listado General'!#REF!,"AAAAAH7b8gY=")</f>
        <v>#REF!</v>
      </c>
      <c r="H24" t="e">
        <f>IF('Listado General'!#REF!,"AAAAAH7b8gc=",0)</f>
        <v>#REF!</v>
      </c>
      <c r="I24" t="e">
        <f>AND('Listado General'!#REF!,"AAAAAH7b8gg=")</f>
        <v>#REF!</v>
      </c>
      <c r="J24" t="e">
        <f>AND('Listado General'!#REF!,"AAAAAH7b8gk=")</f>
        <v>#REF!</v>
      </c>
      <c r="K24" t="e">
        <f>AND('Listado General'!#REF!,"AAAAAH7b8go=")</f>
        <v>#REF!</v>
      </c>
      <c r="L24" t="e">
        <f>AND('Listado General'!#REF!,"AAAAAH7b8gs=")</f>
        <v>#REF!</v>
      </c>
      <c r="M24" t="e">
        <f>AND('Listado General'!#REF!,"AAAAAH7b8gw=")</f>
        <v>#REF!</v>
      </c>
      <c r="N24" t="e">
        <f>AND('Listado General'!#REF!,"AAAAAH7b8g0=")</f>
        <v>#REF!</v>
      </c>
      <c r="O24" t="e">
        <f>AND('Listado General'!#REF!,"AAAAAH7b8g4=")</f>
        <v>#REF!</v>
      </c>
      <c r="P24" t="e">
        <f>AND('Listado General'!#REF!,"AAAAAH7b8g8=")</f>
        <v>#REF!</v>
      </c>
      <c r="Q24" t="e">
        <f>AND('Listado General'!#REF!,"AAAAAH7b8hA=")</f>
        <v>#REF!</v>
      </c>
      <c r="R24" t="e">
        <f>IF('Listado General'!#REF!,"AAAAAH7b8hE=",0)</f>
        <v>#REF!</v>
      </c>
      <c r="S24" t="e">
        <f>AND('Listado General'!#REF!,"AAAAAH7b8hI=")</f>
        <v>#REF!</v>
      </c>
      <c r="T24" t="e">
        <f>AND('Listado General'!#REF!,"AAAAAH7b8hM=")</f>
        <v>#REF!</v>
      </c>
      <c r="U24" t="e">
        <f>AND('Listado General'!#REF!,"AAAAAH7b8hQ=")</f>
        <v>#REF!</v>
      </c>
      <c r="V24" t="e">
        <f>AND('Listado General'!#REF!,"AAAAAH7b8hU=")</f>
        <v>#REF!</v>
      </c>
      <c r="W24" t="e">
        <f>AND('Listado General'!#REF!,"AAAAAH7b8hY=")</f>
        <v>#REF!</v>
      </c>
      <c r="X24" t="e">
        <f>AND('Listado General'!#REF!,"AAAAAH7b8hc=")</f>
        <v>#REF!</v>
      </c>
      <c r="Y24" t="e">
        <f>AND('Listado General'!#REF!,"AAAAAH7b8hg=")</f>
        <v>#REF!</v>
      </c>
      <c r="Z24" t="e">
        <f>AND('Listado General'!#REF!,"AAAAAH7b8hk=")</f>
        <v>#REF!</v>
      </c>
      <c r="AA24" t="e">
        <f>AND('Listado General'!#REF!,"AAAAAH7b8ho=")</f>
        <v>#REF!</v>
      </c>
      <c r="AB24" t="e">
        <f>IF('Listado General'!#REF!,"AAAAAH7b8hs=",0)</f>
        <v>#REF!</v>
      </c>
      <c r="AC24" t="e">
        <f>AND('Listado General'!#REF!,"AAAAAH7b8hw=")</f>
        <v>#REF!</v>
      </c>
      <c r="AD24" t="e">
        <f>AND('Listado General'!#REF!,"AAAAAH7b8h0=")</f>
        <v>#REF!</v>
      </c>
      <c r="AE24" t="e">
        <f>AND('Listado General'!#REF!,"AAAAAH7b8h4=")</f>
        <v>#REF!</v>
      </c>
      <c r="AF24" t="e">
        <f>AND('Listado General'!#REF!,"AAAAAH7b8h8=")</f>
        <v>#REF!</v>
      </c>
      <c r="AG24" t="e">
        <f>AND('Listado General'!#REF!,"AAAAAH7b8iA=")</f>
        <v>#REF!</v>
      </c>
      <c r="AH24" t="e">
        <f>AND('Listado General'!#REF!,"AAAAAH7b8iE=")</f>
        <v>#REF!</v>
      </c>
      <c r="AI24" t="e">
        <f>AND('Listado General'!#REF!,"AAAAAH7b8iI=")</f>
        <v>#REF!</v>
      </c>
      <c r="AJ24" t="e">
        <f>AND('Listado General'!#REF!,"AAAAAH7b8iM=")</f>
        <v>#REF!</v>
      </c>
      <c r="AK24" t="e">
        <f>AND('Listado General'!#REF!,"AAAAAH7b8iQ=")</f>
        <v>#REF!</v>
      </c>
      <c r="AL24" t="e">
        <f>IF('Listado General'!#REF!,"AAAAAH7b8iU=",0)</f>
        <v>#REF!</v>
      </c>
      <c r="AM24" t="e">
        <f>AND('Listado General'!#REF!,"AAAAAH7b8iY=")</f>
        <v>#REF!</v>
      </c>
      <c r="AN24" t="e">
        <f>AND('Listado General'!#REF!,"AAAAAH7b8ic=")</f>
        <v>#REF!</v>
      </c>
      <c r="AO24" t="e">
        <f>AND('Listado General'!#REF!,"AAAAAH7b8ig=")</f>
        <v>#REF!</v>
      </c>
      <c r="AP24" t="e">
        <f>AND('Listado General'!#REF!,"AAAAAH7b8ik=")</f>
        <v>#REF!</v>
      </c>
      <c r="AQ24" t="e">
        <f>AND('Listado General'!#REF!,"AAAAAH7b8io=")</f>
        <v>#REF!</v>
      </c>
      <c r="AR24" t="e">
        <f>AND('Listado General'!#REF!,"AAAAAH7b8is=")</f>
        <v>#REF!</v>
      </c>
      <c r="AS24" t="e">
        <f>AND('Listado General'!#REF!,"AAAAAH7b8iw=")</f>
        <v>#REF!</v>
      </c>
      <c r="AT24" t="e">
        <f>AND('Listado General'!#REF!,"AAAAAH7b8i0=")</f>
        <v>#REF!</v>
      </c>
      <c r="AU24" t="e">
        <f>AND('Listado General'!#REF!,"AAAAAH7b8i4=")</f>
        <v>#REF!</v>
      </c>
      <c r="AV24" t="e">
        <f>IF('Listado General'!#REF!,"AAAAAH7b8i8=",0)</f>
        <v>#REF!</v>
      </c>
      <c r="AW24" t="e">
        <f>AND('Listado General'!#REF!,"AAAAAH7b8jA=")</f>
        <v>#REF!</v>
      </c>
      <c r="AX24" t="e">
        <f>AND('Listado General'!#REF!,"AAAAAH7b8jE=")</f>
        <v>#REF!</v>
      </c>
      <c r="AY24" t="e">
        <f>AND('Listado General'!#REF!,"AAAAAH7b8jI=")</f>
        <v>#REF!</v>
      </c>
      <c r="AZ24" t="e">
        <f>AND('Listado General'!#REF!,"AAAAAH7b8jM=")</f>
        <v>#REF!</v>
      </c>
      <c r="BA24" t="e">
        <f>AND('Listado General'!#REF!,"AAAAAH7b8jQ=")</f>
        <v>#REF!</v>
      </c>
      <c r="BB24" t="e">
        <f>AND('Listado General'!#REF!,"AAAAAH7b8jU=")</f>
        <v>#REF!</v>
      </c>
      <c r="BC24" t="e">
        <f>AND('Listado General'!#REF!,"AAAAAH7b8jY=")</f>
        <v>#REF!</v>
      </c>
      <c r="BD24" t="e">
        <f>AND('Listado General'!#REF!,"AAAAAH7b8jc=")</f>
        <v>#REF!</v>
      </c>
      <c r="BE24" t="e">
        <f>AND('Listado General'!#REF!,"AAAAAH7b8jg=")</f>
        <v>#REF!</v>
      </c>
      <c r="BF24" t="e">
        <f>IF('Listado General'!#REF!,"AAAAAH7b8jk=",0)</f>
        <v>#REF!</v>
      </c>
      <c r="BG24" t="e">
        <f>AND('Listado General'!#REF!,"AAAAAH7b8jo=")</f>
        <v>#REF!</v>
      </c>
      <c r="BH24" t="e">
        <f>AND('Listado General'!#REF!,"AAAAAH7b8js=")</f>
        <v>#REF!</v>
      </c>
      <c r="BI24" t="e">
        <f>AND('Listado General'!#REF!,"AAAAAH7b8jw=")</f>
        <v>#REF!</v>
      </c>
      <c r="BJ24" t="e">
        <f>AND('Listado General'!#REF!,"AAAAAH7b8j0=")</f>
        <v>#REF!</v>
      </c>
      <c r="BK24" t="e">
        <f>AND('Listado General'!#REF!,"AAAAAH7b8j4=")</f>
        <v>#REF!</v>
      </c>
      <c r="BL24" t="e">
        <f>AND('Listado General'!#REF!,"AAAAAH7b8j8=")</f>
        <v>#REF!</v>
      </c>
      <c r="BM24" t="e">
        <f>AND('Listado General'!#REF!,"AAAAAH7b8kA=")</f>
        <v>#REF!</v>
      </c>
      <c r="BN24" t="e">
        <f>AND('Listado General'!#REF!,"AAAAAH7b8kE=")</f>
        <v>#REF!</v>
      </c>
      <c r="BO24" t="e">
        <f>AND('Listado General'!#REF!,"AAAAAH7b8kI=")</f>
        <v>#REF!</v>
      </c>
      <c r="BP24" t="e">
        <f>IF('Listado General'!#REF!,"AAAAAH7b8kM=",0)</f>
        <v>#REF!</v>
      </c>
      <c r="BQ24" t="e">
        <f>AND('Listado General'!#REF!,"AAAAAH7b8kQ=")</f>
        <v>#REF!</v>
      </c>
      <c r="BR24" t="e">
        <f>AND('Listado General'!#REF!,"AAAAAH7b8kU=")</f>
        <v>#REF!</v>
      </c>
      <c r="BS24" t="e">
        <f>AND('Listado General'!#REF!,"AAAAAH7b8kY=")</f>
        <v>#REF!</v>
      </c>
      <c r="BT24" t="e">
        <f>AND('Listado General'!#REF!,"AAAAAH7b8kc=")</f>
        <v>#REF!</v>
      </c>
      <c r="BU24" t="e">
        <f>AND('Listado General'!#REF!,"AAAAAH7b8kg=")</f>
        <v>#REF!</v>
      </c>
      <c r="BV24" t="e">
        <f>AND('Listado General'!#REF!,"AAAAAH7b8kk=")</f>
        <v>#REF!</v>
      </c>
      <c r="BW24" t="e">
        <f>AND('Listado General'!#REF!,"AAAAAH7b8ko=")</f>
        <v>#REF!</v>
      </c>
      <c r="BX24" t="e">
        <f>AND('Listado General'!#REF!,"AAAAAH7b8ks=")</f>
        <v>#REF!</v>
      </c>
      <c r="BY24" t="e">
        <f>AND('Listado General'!#REF!,"AAAAAH7b8kw=")</f>
        <v>#REF!</v>
      </c>
      <c r="BZ24" t="e">
        <f>IF('Listado General'!#REF!,"AAAAAH7b8k0=",0)</f>
        <v>#REF!</v>
      </c>
      <c r="CA24" t="e">
        <f>AND('Listado General'!#REF!,"AAAAAH7b8k4=")</f>
        <v>#REF!</v>
      </c>
      <c r="CB24" t="e">
        <f>AND('Listado General'!#REF!,"AAAAAH7b8k8=")</f>
        <v>#REF!</v>
      </c>
      <c r="CC24" t="e">
        <f>AND('Listado General'!#REF!,"AAAAAH7b8lA=")</f>
        <v>#REF!</v>
      </c>
      <c r="CD24" t="e">
        <f>AND('Listado General'!#REF!,"AAAAAH7b8lE=")</f>
        <v>#REF!</v>
      </c>
      <c r="CE24" t="e">
        <f>AND('Listado General'!#REF!,"AAAAAH7b8lI=")</f>
        <v>#REF!</v>
      </c>
      <c r="CF24" t="e">
        <f>AND('Listado General'!#REF!,"AAAAAH7b8lM=")</f>
        <v>#REF!</v>
      </c>
      <c r="CG24" t="e">
        <f>AND('Listado General'!#REF!,"AAAAAH7b8lQ=")</f>
        <v>#REF!</v>
      </c>
      <c r="CH24" t="e">
        <f>AND('Listado General'!#REF!,"AAAAAH7b8lU=")</f>
        <v>#REF!</v>
      </c>
      <c r="CI24" t="e">
        <f>AND('Listado General'!#REF!,"AAAAAH7b8lY=")</f>
        <v>#REF!</v>
      </c>
      <c r="CJ24" t="e">
        <f>IF('Listado General'!#REF!,"AAAAAH7b8lc=",0)</f>
        <v>#REF!</v>
      </c>
      <c r="CK24" t="e">
        <f>AND('Listado General'!#REF!,"AAAAAH7b8lg=")</f>
        <v>#REF!</v>
      </c>
      <c r="CL24" t="e">
        <f>AND('Listado General'!#REF!,"AAAAAH7b8lk=")</f>
        <v>#REF!</v>
      </c>
      <c r="CM24" t="e">
        <f>AND('Listado General'!#REF!,"AAAAAH7b8lo=")</f>
        <v>#REF!</v>
      </c>
      <c r="CN24" t="e">
        <f>AND('Listado General'!#REF!,"AAAAAH7b8ls=")</f>
        <v>#REF!</v>
      </c>
      <c r="CO24" t="e">
        <f>AND('Listado General'!#REF!,"AAAAAH7b8lw=")</f>
        <v>#REF!</v>
      </c>
      <c r="CP24" t="e">
        <f>AND('Listado General'!#REF!,"AAAAAH7b8l0=")</f>
        <v>#REF!</v>
      </c>
      <c r="CQ24" t="e">
        <f>AND('Listado General'!#REF!,"AAAAAH7b8l4=")</f>
        <v>#REF!</v>
      </c>
      <c r="CR24" t="e">
        <f>AND('Listado General'!#REF!,"AAAAAH7b8l8=")</f>
        <v>#REF!</v>
      </c>
      <c r="CS24" t="e">
        <f>AND('Listado General'!#REF!,"AAAAAH7b8mA=")</f>
        <v>#REF!</v>
      </c>
      <c r="CT24" t="e">
        <f>IF('Listado General'!#REF!,"AAAAAH7b8mE=",0)</f>
        <v>#REF!</v>
      </c>
      <c r="CU24" t="e">
        <f>AND('Listado General'!#REF!,"AAAAAH7b8mI=")</f>
        <v>#REF!</v>
      </c>
      <c r="CV24" t="e">
        <f>AND('Listado General'!#REF!,"AAAAAH7b8mM=")</f>
        <v>#REF!</v>
      </c>
      <c r="CW24" t="e">
        <f>AND('Listado General'!#REF!,"AAAAAH7b8mQ=")</f>
        <v>#REF!</v>
      </c>
      <c r="CX24" t="e">
        <f>AND('Listado General'!#REF!,"AAAAAH7b8mU=")</f>
        <v>#REF!</v>
      </c>
      <c r="CY24" t="e">
        <f>AND('Listado General'!#REF!,"AAAAAH7b8mY=")</f>
        <v>#REF!</v>
      </c>
      <c r="CZ24" t="e">
        <f>AND('Listado General'!#REF!,"AAAAAH7b8mc=")</f>
        <v>#REF!</v>
      </c>
      <c r="DA24" t="e">
        <f>AND('Listado General'!#REF!,"AAAAAH7b8mg=")</f>
        <v>#REF!</v>
      </c>
      <c r="DB24" t="e">
        <f>AND('Listado General'!#REF!,"AAAAAH7b8mk=")</f>
        <v>#REF!</v>
      </c>
      <c r="DC24" t="e">
        <f>AND('Listado General'!#REF!,"AAAAAH7b8mo=")</f>
        <v>#REF!</v>
      </c>
      <c r="DD24" t="e">
        <f>IF('Listado General'!#REF!,"AAAAAH7b8ms=",0)</f>
        <v>#REF!</v>
      </c>
      <c r="DE24" t="e">
        <f>AND('Listado General'!#REF!,"AAAAAH7b8mw=")</f>
        <v>#REF!</v>
      </c>
      <c r="DF24" t="e">
        <f>AND('Listado General'!#REF!,"AAAAAH7b8m0=")</f>
        <v>#REF!</v>
      </c>
      <c r="DG24" t="e">
        <f>AND('Listado General'!#REF!,"AAAAAH7b8m4=")</f>
        <v>#REF!</v>
      </c>
      <c r="DH24" t="e">
        <f>AND('Listado General'!#REF!,"AAAAAH7b8m8=")</f>
        <v>#REF!</v>
      </c>
      <c r="DI24" t="e">
        <f>AND('Listado General'!#REF!,"AAAAAH7b8nA=")</f>
        <v>#REF!</v>
      </c>
      <c r="DJ24" t="e">
        <f>AND('Listado General'!#REF!,"AAAAAH7b8nE=")</f>
        <v>#REF!</v>
      </c>
      <c r="DK24" t="e">
        <f>AND('Listado General'!#REF!,"AAAAAH7b8nI=")</f>
        <v>#REF!</v>
      </c>
      <c r="DL24" t="e">
        <f>AND('Listado General'!#REF!,"AAAAAH7b8nM=")</f>
        <v>#REF!</v>
      </c>
      <c r="DM24" t="e">
        <f>AND('Listado General'!#REF!,"AAAAAH7b8nQ=")</f>
        <v>#REF!</v>
      </c>
      <c r="DN24" t="e">
        <f>IF('Listado General'!#REF!,"AAAAAH7b8nU=",0)</f>
        <v>#REF!</v>
      </c>
      <c r="DO24" t="e">
        <f>AND('Listado General'!#REF!,"AAAAAH7b8nY=")</f>
        <v>#REF!</v>
      </c>
      <c r="DP24" t="e">
        <f>AND('Listado General'!#REF!,"AAAAAH7b8nc=")</f>
        <v>#REF!</v>
      </c>
      <c r="DQ24" t="e">
        <f>AND('Listado General'!#REF!,"AAAAAH7b8ng=")</f>
        <v>#REF!</v>
      </c>
      <c r="DR24" t="e">
        <f>AND('Listado General'!#REF!,"AAAAAH7b8nk=")</f>
        <v>#REF!</v>
      </c>
      <c r="DS24" t="e">
        <f>AND('Listado General'!#REF!,"AAAAAH7b8no=")</f>
        <v>#REF!</v>
      </c>
      <c r="DT24" t="e">
        <f>AND('Listado General'!#REF!,"AAAAAH7b8ns=")</f>
        <v>#REF!</v>
      </c>
      <c r="DU24" t="e">
        <f>AND('Listado General'!#REF!,"AAAAAH7b8nw=")</f>
        <v>#REF!</v>
      </c>
      <c r="DV24" t="e">
        <f>AND('Listado General'!#REF!,"AAAAAH7b8n0=")</f>
        <v>#REF!</v>
      </c>
      <c r="DW24" t="e">
        <f>AND('Listado General'!#REF!,"AAAAAH7b8n4=")</f>
        <v>#REF!</v>
      </c>
      <c r="DX24" t="e">
        <f>IF('Listado General'!#REF!,"AAAAAH7b8n8=",0)</f>
        <v>#REF!</v>
      </c>
      <c r="DY24" t="e">
        <f>AND('Listado General'!#REF!,"AAAAAH7b8oA=")</f>
        <v>#REF!</v>
      </c>
      <c r="DZ24" t="e">
        <f>AND('Listado General'!#REF!,"AAAAAH7b8oE=")</f>
        <v>#REF!</v>
      </c>
      <c r="EA24" t="e">
        <f>AND('Listado General'!#REF!,"AAAAAH7b8oI=")</f>
        <v>#REF!</v>
      </c>
      <c r="EB24" t="e">
        <f>AND('Listado General'!#REF!,"AAAAAH7b8oM=")</f>
        <v>#REF!</v>
      </c>
      <c r="EC24" t="e">
        <f>AND('Listado General'!#REF!,"AAAAAH7b8oQ=")</f>
        <v>#REF!</v>
      </c>
      <c r="ED24" t="e">
        <f>AND('Listado General'!#REF!,"AAAAAH7b8oU=")</f>
        <v>#REF!</v>
      </c>
      <c r="EE24" t="e">
        <f>AND('Listado General'!#REF!,"AAAAAH7b8oY=")</f>
        <v>#REF!</v>
      </c>
      <c r="EF24" t="e">
        <f>AND('Listado General'!#REF!,"AAAAAH7b8oc=")</f>
        <v>#REF!</v>
      </c>
      <c r="EG24" t="e">
        <f>AND('Listado General'!#REF!,"AAAAAH7b8og=")</f>
        <v>#REF!</v>
      </c>
      <c r="EH24" t="e">
        <f>IF('Listado General'!#REF!,"AAAAAH7b8ok=",0)</f>
        <v>#REF!</v>
      </c>
      <c r="EI24" t="e">
        <f>AND('Listado General'!#REF!,"AAAAAH7b8oo=")</f>
        <v>#REF!</v>
      </c>
      <c r="EJ24" t="e">
        <f>AND('Listado General'!#REF!,"AAAAAH7b8os=")</f>
        <v>#REF!</v>
      </c>
      <c r="EK24" t="e">
        <f>AND('Listado General'!#REF!,"AAAAAH7b8ow=")</f>
        <v>#REF!</v>
      </c>
      <c r="EL24" t="e">
        <f>AND('Listado General'!#REF!,"AAAAAH7b8o0=")</f>
        <v>#REF!</v>
      </c>
      <c r="EM24" t="e">
        <f>AND('Listado General'!#REF!,"AAAAAH7b8o4=")</f>
        <v>#REF!</v>
      </c>
      <c r="EN24" t="e">
        <f>AND('Listado General'!#REF!,"AAAAAH7b8o8=")</f>
        <v>#REF!</v>
      </c>
      <c r="EO24" t="e">
        <f>AND('Listado General'!#REF!,"AAAAAH7b8pA=")</f>
        <v>#REF!</v>
      </c>
      <c r="EP24" t="e">
        <f>AND('Listado General'!#REF!,"AAAAAH7b8pE=")</f>
        <v>#REF!</v>
      </c>
      <c r="EQ24" t="e">
        <f>AND('Listado General'!#REF!,"AAAAAH7b8pI=")</f>
        <v>#REF!</v>
      </c>
      <c r="ER24" t="e">
        <f>IF('Listado General'!#REF!,"AAAAAH7b8pM=",0)</f>
        <v>#REF!</v>
      </c>
      <c r="ES24" t="e">
        <f>AND('Listado General'!#REF!,"AAAAAH7b8pQ=")</f>
        <v>#REF!</v>
      </c>
      <c r="ET24" t="e">
        <f>AND('Listado General'!#REF!,"AAAAAH7b8pU=")</f>
        <v>#REF!</v>
      </c>
      <c r="EU24" t="e">
        <f>AND('Listado General'!#REF!,"AAAAAH7b8pY=")</f>
        <v>#REF!</v>
      </c>
      <c r="EV24" t="e">
        <f>AND('Listado General'!#REF!,"AAAAAH7b8pc=")</f>
        <v>#REF!</v>
      </c>
      <c r="EW24" t="e">
        <f>AND('Listado General'!#REF!,"AAAAAH7b8pg=")</f>
        <v>#REF!</v>
      </c>
      <c r="EX24" t="e">
        <f>AND('Listado General'!#REF!,"AAAAAH7b8pk=")</f>
        <v>#REF!</v>
      </c>
      <c r="EY24" t="e">
        <f>AND('Listado General'!#REF!,"AAAAAH7b8po=")</f>
        <v>#REF!</v>
      </c>
      <c r="EZ24" t="e">
        <f>AND('Listado General'!#REF!,"AAAAAH7b8ps=")</f>
        <v>#REF!</v>
      </c>
      <c r="FA24" t="e">
        <f>AND('Listado General'!#REF!,"AAAAAH7b8pw=")</f>
        <v>#REF!</v>
      </c>
      <c r="FB24" t="e">
        <f>IF('Listado General'!#REF!,"AAAAAH7b8p0=",0)</f>
        <v>#REF!</v>
      </c>
      <c r="FC24" t="e">
        <f>AND('Listado General'!#REF!,"AAAAAH7b8p4=")</f>
        <v>#REF!</v>
      </c>
      <c r="FD24" t="e">
        <f>AND('Listado General'!#REF!,"AAAAAH7b8p8=")</f>
        <v>#REF!</v>
      </c>
      <c r="FE24" t="e">
        <f>AND('Listado General'!#REF!,"AAAAAH7b8qA=")</f>
        <v>#REF!</v>
      </c>
      <c r="FF24" t="e">
        <f>AND('Listado General'!#REF!,"AAAAAH7b8qE=")</f>
        <v>#REF!</v>
      </c>
      <c r="FG24" t="e">
        <f>AND('Listado General'!#REF!,"AAAAAH7b8qI=")</f>
        <v>#REF!</v>
      </c>
      <c r="FH24" t="e">
        <f>AND('Listado General'!#REF!,"AAAAAH7b8qM=")</f>
        <v>#REF!</v>
      </c>
      <c r="FI24" t="e">
        <f>AND('Listado General'!#REF!,"AAAAAH7b8qQ=")</f>
        <v>#REF!</v>
      </c>
      <c r="FJ24" t="e">
        <f>AND('Listado General'!#REF!,"AAAAAH7b8qU=")</f>
        <v>#REF!</v>
      </c>
      <c r="FK24" t="e">
        <f>AND('Listado General'!#REF!,"AAAAAH7b8qY=")</f>
        <v>#REF!</v>
      </c>
      <c r="FL24" t="e">
        <f>IF('Listado General'!#REF!,"AAAAAH7b8qc=",0)</f>
        <v>#REF!</v>
      </c>
      <c r="FM24" t="e">
        <f>AND('Listado General'!#REF!,"AAAAAH7b8qg=")</f>
        <v>#REF!</v>
      </c>
      <c r="FN24" t="e">
        <f>AND('Listado General'!#REF!,"AAAAAH7b8qk=")</f>
        <v>#REF!</v>
      </c>
      <c r="FO24" t="e">
        <f>AND('Listado General'!#REF!,"AAAAAH7b8qo=")</f>
        <v>#REF!</v>
      </c>
      <c r="FP24" t="e">
        <f>AND('Listado General'!#REF!,"AAAAAH7b8qs=")</f>
        <v>#REF!</v>
      </c>
      <c r="FQ24" t="e">
        <f>AND('Listado General'!#REF!,"AAAAAH7b8qw=")</f>
        <v>#REF!</v>
      </c>
      <c r="FR24" t="e">
        <f>AND('Listado General'!#REF!,"AAAAAH7b8q0=")</f>
        <v>#REF!</v>
      </c>
      <c r="FS24" t="e">
        <f>AND('Listado General'!#REF!,"AAAAAH7b8q4=")</f>
        <v>#REF!</v>
      </c>
      <c r="FT24" t="e">
        <f>AND('Listado General'!#REF!,"AAAAAH7b8q8=")</f>
        <v>#REF!</v>
      </c>
      <c r="FU24" t="e">
        <f>AND('Listado General'!#REF!,"AAAAAH7b8rA=")</f>
        <v>#REF!</v>
      </c>
      <c r="FV24" t="e">
        <f>IF('Listado General'!#REF!,"AAAAAH7b8rE=",0)</f>
        <v>#REF!</v>
      </c>
      <c r="FW24" t="e">
        <f>AND('Listado General'!#REF!,"AAAAAH7b8rI=")</f>
        <v>#REF!</v>
      </c>
      <c r="FX24" t="e">
        <f>AND('Listado General'!#REF!,"AAAAAH7b8rM=")</f>
        <v>#REF!</v>
      </c>
      <c r="FY24" t="e">
        <f>AND('Listado General'!#REF!,"AAAAAH7b8rQ=")</f>
        <v>#REF!</v>
      </c>
      <c r="FZ24" t="e">
        <f>AND('Listado General'!#REF!,"AAAAAH7b8rU=")</f>
        <v>#REF!</v>
      </c>
      <c r="GA24" t="e">
        <f>AND('Listado General'!#REF!,"AAAAAH7b8rY=")</f>
        <v>#REF!</v>
      </c>
      <c r="GB24" t="e">
        <f>AND('Listado General'!#REF!,"AAAAAH7b8rc=")</f>
        <v>#REF!</v>
      </c>
      <c r="GC24" t="e">
        <f>AND('Listado General'!#REF!,"AAAAAH7b8rg=")</f>
        <v>#REF!</v>
      </c>
      <c r="GD24" t="e">
        <f>AND('Listado General'!#REF!,"AAAAAH7b8rk=")</f>
        <v>#REF!</v>
      </c>
      <c r="GE24" t="e">
        <f>AND('Listado General'!#REF!,"AAAAAH7b8ro=")</f>
        <v>#REF!</v>
      </c>
      <c r="GF24" t="e">
        <f>IF('Listado General'!#REF!,"AAAAAH7b8rs=",0)</f>
        <v>#REF!</v>
      </c>
      <c r="GG24" t="e">
        <f>AND('Listado General'!#REF!,"AAAAAH7b8rw=")</f>
        <v>#REF!</v>
      </c>
      <c r="GH24" t="e">
        <f>AND('Listado General'!#REF!,"AAAAAH7b8r0=")</f>
        <v>#REF!</v>
      </c>
      <c r="GI24" t="e">
        <f>AND('Listado General'!#REF!,"AAAAAH7b8r4=")</f>
        <v>#REF!</v>
      </c>
      <c r="GJ24" t="e">
        <f>AND('Listado General'!#REF!,"AAAAAH7b8r8=")</f>
        <v>#REF!</v>
      </c>
      <c r="GK24" t="e">
        <f>AND('Listado General'!#REF!,"AAAAAH7b8sA=")</f>
        <v>#REF!</v>
      </c>
      <c r="GL24" t="e">
        <f>AND('Listado General'!#REF!,"AAAAAH7b8sE=")</f>
        <v>#REF!</v>
      </c>
      <c r="GM24" t="e">
        <f>AND('Listado General'!#REF!,"AAAAAH7b8sI=")</f>
        <v>#REF!</v>
      </c>
      <c r="GN24" t="e">
        <f>AND('Listado General'!#REF!,"AAAAAH7b8sM=")</f>
        <v>#REF!</v>
      </c>
      <c r="GO24" t="e">
        <f>AND('Listado General'!#REF!,"AAAAAH7b8sQ=")</f>
        <v>#REF!</v>
      </c>
      <c r="GP24" t="e">
        <f>IF('Listado General'!#REF!,"AAAAAH7b8sU=",0)</f>
        <v>#REF!</v>
      </c>
      <c r="GQ24" t="e">
        <f>AND('Listado General'!#REF!,"AAAAAH7b8sY=")</f>
        <v>#REF!</v>
      </c>
      <c r="GR24" t="e">
        <f>AND('Listado General'!#REF!,"AAAAAH7b8sc=")</f>
        <v>#REF!</v>
      </c>
      <c r="GS24" t="e">
        <f>AND('Listado General'!#REF!,"AAAAAH7b8sg=")</f>
        <v>#REF!</v>
      </c>
      <c r="GT24" t="e">
        <f>AND('Listado General'!#REF!,"AAAAAH7b8sk=")</f>
        <v>#REF!</v>
      </c>
      <c r="GU24" t="e">
        <f>AND('Listado General'!#REF!,"AAAAAH7b8so=")</f>
        <v>#REF!</v>
      </c>
      <c r="GV24" t="e">
        <f>AND('Listado General'!#REF!,"AAAAAH7b8ss=")</f>
        <v>#REF!</v>
      </c>
      <c r="GW24" t="e">
        <f>AND('Listado General'!#REF!,"AAAAAH7b8sw=")</f>
        <v>#REF!</v>
      </c>
      <c r="GX24" t="e">
        <f>AND('Listado General'!#REF!,"AAAAAH7b8s0=")</f>
        <v>#REF!</v>
      </c>
      <c r="GY24" t="e">
        <f>AND('Listado General'!#REF!,"AAAAAH7b8s4=")</f>
        <v>#REF!</v>
      </c>
      <c r="GZ24" t="e">
        <f>IF('Listado General'!#REF!,"AAAAAH7b8s8=",0)</f>
        <v>#REF!</v>
      </c>
      <c r="HA24" t="e">
        <f>AND('Listado General'!#REF!,"AAAAAH7b8tA=")</f>
        <v>#REF!</v>
      </c>
      <c r="HB24" t="e">
        <f>AND('Listado General'!#REF!,"AAAAAH7b8tE=")</f>
        <v>#REF!</v>
      </c>
      <c r="HC24" t="e">
        <f>AND('Listado General'!#REF!,"AAAAAH7b8tI=")</f>
        <v>#REF!</v>
      </c>
      <c r="HD24" t="e">
        <f>AND('Listado General'!#REF!,"AAAAAH7b8tM=")</f>
        <v>#REF!</v>
      </c>
      <c r="HE24" t="e">
        <f>AND('Listado General'!#REF!,"AAAAAH7b8tQ=")</f>
        <v>#REF!</v>
      </c>
      <c r="HF24" t="e">
        <f>AND('Listado General'!#REF!,"AAAAAH7b8tU=")</f>
        <v>#REF!</v>
      </c>
      <c r="HG24" t="e">
        <f>AND('Listado General'!#REF!,"AAAAAH7b8tY=")</f>
        <v>#REF!</v>
      </c>
      <c r="HH24" t="e">
        <f>AND('Listado General'!#REF!,"AAAAAH7b8tc=")</f>
        <v>#REF!</v>
      </c>
      <c r="HI24" t="e">
        <f>AND('Listado General'!#REF!,"AAAAAH7b8tg=")</f>
        <v>#REF!</v>
      </c>
      <c r="HJ24" t="e">
        <f>IF('Listado General'!#REF!,"AAAAAH7b8tk=",0)</f>
        <v>#REF!</v>
      </c>
      <c r="HK24" t="e">
        <f>AND('Listado General'!#REF!,"AAAAAH7b8to=")</f>
        <v>#REF!</v>
      </c>
      <c r="HL24" t="e">
        <f>AND('Listado General'!#REF!,"AAAAAH7b8ts=")</f>
        <v>#REF!</v>
      </c>
      <c r="HM24" t="e">
        <f>AND('Listado General'!#REF!,"AAAAAH7b8tw=")</f>
        <v>#REF!</v>
      </c>
      <c r="HN24" t="e">
        <f>AND('Listado General'!#REF!,"AAAAAH7b8t0=")</f>
        <v>#REF!</v>
      </c>
      <c r="HO24" t="e">
        <f>AND('Listado General'!#REF!,"AAAAAH7b8t4=")</f>
        <v>#REF!</v>
      </c>
      <c r="HP24" t="e">
        <f>AND('Listado General'!#REF!,"AAAAAH7b8t8=")</f>
        <v>#REF!</v>
      </c>
      <c r="HQ24" t="e">
        <f>AND('Listado General'!#REF!,"AAAAAH7b8uA=")</f>
        <v>#REF!</v>
      </c>
      <c r="HR24" t="e">
        <f>AND('Listado General'!#REF!,"AAAAAH7b8uE=")</f>
        <v>#REF!</v>
      </c>
      <c r="HS24" t="e">
        <f>AND('Listado General'!#REF!,"AAAAAH7b8uI=")</f>
        <v>#REF!</v>
      </c>
      <c r="HT24" t="e">
        <f>IF('Listado General'!#REF!,"AAAAAH7b8uM=",0)</f>
        <v>#REF!</v>
      </c>
      <c r="HU24" t="e">
        <f>AND('Listado General'!#REF!,"AAAAAH7b8uQ=")</f>
        <v>#REF!</v>
      </c>
      <c r="HV24" t="e">
        <f>AND('Listado General'!#REF!,"AAAAAH7b8uU=")</f>
        <v>#REF!</v>
      </c>
      <c r="HW24" t="e">
        <f>AND('Listado General'!#REF!,"AAAAAH7b8uY=")</f>
        <v>#REF!</v>
      </c>
      <c r="HX24" t="e">
        <f>AND('Listado General'!#REF!,"AAAAAH7b8uc=")</f>
        <v>#REF!</v>
      </c>
      <c r="HY24" t="e">
        <f>AND('Listado General'!#REF!,"AAAAAH7b8ug=")</f>
        <v>#REF!</v>
      </c>
      <c r="HZ24" t="e">
        <f>AND('Listado General'!#REF!,"AAAAAH7b8uk=")</f>
        <v>#REF!</v>
      </c>
      <c r="IA24" t="e">
        <f>AND('Listado General'!#REF!,"AAAAAH7b8uo=")</f>
        <v>#REF!</v>
      </c>
      <c r="IB24" t="e">
        <f>AND('Listado General'!#REF!,"AAAAAH7b8us=")</f>
        <v>#REF!</v>
      </c>
      <c r="IC24" t="e">
        <f>AND('Listado General'!#REF!,"AAAAAH7b8uw=")</f>
        <v>#REF!</v>
      </c>
      <c r="ID24" t="e">
        <f>IF('Listado General'!#REF!,"AAAAAH7b8u0=",0)</f>
        <v>#REF!</v>
      </c>
      <c r="IE24" t="e">
        <f>AND('Listado General'!#REF!,"AAAAAH7b8u4=")</f>
        <v>#REF!</v>
      </c>
      <c r="IF24" t="e">
        <f>AND('Listado General'!#REF!,"AAAAAH7b8u8=")</f>
        <v>#REF!</v>
      </c>
      <c r="IG24" t="e">
        <f>AND('Listado General'!#REF!,"AAAAAH7b8vA=")</f>
        <v>#REF!</v>
      </c>
      <c r="IH24" t="e">
        <f>AND('Listado General'!#REF!,"AAAAAH7b8vE=")</f>
        <v>#REF!</v>
      </c>
      <c r="II24" t="e">
        <f>AND('Listado General'!#REF!,"AAAAAH7b8vI=")</f>
        <v>#REF!</v>
      </c>
      <c r="IJ24" t="e">
        <f>AND('Listado General'!#REF!,"AAAAAH7b8vM=")</f>
        <v>#REF!</v>
      </c>
      <c r="IK24" t="e">
        <f>AND('Listado General'!#REF!,"AAAAAH7b8vQ=")</f>
        <v>#REF!</v>
      </c>
      <c r="IL24" t="e">
        <f>AND('Listado General'!#REF!,"AAAAAH7b8vU=")</f>
        <v>#REF!</v>
      </c>
      <c r="IM24" t="e">
        <f>AND('Listado General'!#REF!,"AAAAAH7b8vY=")</f>
        <v>#REF!</v>
      </c>
      <c r="IN24" t="e">
        <f>IF('Listado General'!#REF!,"AAAAAH7b8vc=",0)</f>
        <v>#REF!</v>
      </c>
      <c r="IO24" t="e">
        <f>AND('Listado General'!#REF!,"AAAAAH7b8vg=")</f>
        <v>#REF!</v>
      </c>
      <c r="IP24" t="e">
        <f>AND('Listado General'!#REF!,"AAAAAH7b8vk=")</f>
        <v>#REF!</v>
      </c>
      <c r="IQ24" t="e">
        <f>AND('Listado General'!#REF!,"AAAAAH7b8vo=")</f>
        <v>#REF!</v>
      </c>
      <c r="IR24" t="e">
        <f>AND('Listado General'!#REF!,"AAAAAH7b8vs=")</f>
        <v>#REF!</v>
      </c>
      <c r="IS24" t="e">
        <f>AND('Listado General'!#REF!,"AAAAAH7b8vw=")</f>
        <v>#REF!</v>
      </c>
      <c r="IT24" t="e">
        <f>AND('Listado General'!#REF!,"AAAAAH7b8v0=")</f>
        <v>#REF!</v>
      </c>
      <c r="IU24" t="e">
        <f>AND('Listado General'!#REF!,"AAAAAH7b8v4=")</f>
        <v>#REF!</v>
      </c>
      <c r="IV24" t="e">
        <f>AND('Listado General'!#REF!,"AAAAAH7b8v8=")</f>
        <v>#REF!</v>
      </c>
    </row>
    <row r="25" spans="1:256" ht="12.75">
      <c r="A25" t="e">
        <f>AND('Listado General'!#REF!,"AAAAADrV/wA=")</f>
        <v>#REF!</v>
      </c>
      <c r="B25" t="e">
        <f>IF('Listado General'!#REF!,"AAAAADrV/wE=",0)</f>
        <v>#REF!</v>
      </c>
      <c r="C25" t="e">
        <f>AND('Listado General'!#REF!,"AAAAADrV/wI=")</f>
        <v>#REF!</v>
      </c>
      <c r="D25" t="e">
        <f>AND('Listado General'!#REF!,"AAAAADrV/wM=")</f>
        <v>#REF!</v>
      </c>
      <c r="E25" t="e">
        <f>AND('Listado General'!#REF!,"AAAAADrV/wQ=")</f>
        <v>#REF!</v>
      </c>
      <c r="F25" t="e">
        <f>AND('Listado General'!#REF!,"AAAAADrV/wU=")</f>
        <v>#REF!</v>
      </c>
      <c r="G25" t="e">
        <f>AND('Listado General'!#REF!,"AAAAADrV/wY=")</f>
        <v>#REF!</v>
      </c>
      <c r="H25" t="e">
        <f>AND('Listado General'!#REF!,"AAAAADrV/wc=")</f>
        <v>#REF!</v>
      </c>
      <c r="I25" t="e">
        <f>AND('Listado General'!#REF!,"AAAAADrV/wg=")</f>
        <v>#REF!</v>
      </c>
      <c r="J25" t="e">
        <f>AND('Listado General'!#REF!,"AAAAADrV/wk=")</f>
        <v>#REF!</v>
      </c>
      <c r="K25" t="e">
        <f>AND('Listado General'!#REF!,"AAAAADrV/wo=")</f>
        <v>#REF!</v>
      </c>
      <c r="L25" t="e">
        <f>IF('Listado General'!#REF!,"AAAAADrV/ws=",0)</f>
        <v>#REF!</v>
      </c>
      <c r="M25" t="e">
        <f>AND('Listado General'!#REF!,"AAAAADrV/ww=")</f>
        <v>#REF!</v>
      </c>
      <c r="N25" t="e">
        <f>AND('Listado General'!#REF!,"AAAAADrV/w0=")</f>
        <v>#REF!</v>
      </c>
      <c r="O25" t="e">
        <f>AND('Listado General'!#REF!,"AAAAADrV/w4=")</f>
        <v>#REF!</v>
      </c>
      <c r="P25" t="e">
        <f>AND('Listado General'!#REF!,"AAAAADrV/w8=")</f>
        <v>#REF!</v>
      </c>
      <c r="Q25" t="e">
        <f>AND('Listado General'!#REF!,"AAAAADrV/xA=")</f>
        <v>#REF!</v>
      </c>
      <c r="R25" t="e">
        <f>AND('Listado General'!#REF!,"AAAAADrV/xE=")</f>
        <v>#REF!</v>
      </c>
      <c r="S25" t="e">
        <f>AND('Listado General'!#REF!,"AAAAADrV/xI=")</f>
        <v>#REF!</v>
      </c>
      <c r="T25" t="e">
        <f>AND('Listado General'!#REF!,"AAAAADrV/xM=")</f>
        <v>#REF!</v>
      </c>
      <c r="U25" t="e">
        <f>AND('Listado General'!#REF!,"AAAAADrV/xQ=")</f>
        <v>#REF!</v>
      </c>
      <c r="V25" t="e">
        <f>IF('Listado General'!#REF!,"AAAAADrV/xU=",0)</f>
        <v>#REF!</v>
      </c>
      <c r="W25" t="e">
        <f>AND('Listado General'!#REF!,"AAAAADrV/xY=")</f>
        <v>#REF!</v>
      </c>
      <c r="X25" t="e">
        <f>AND('Listado General'!#REF!,"AAAAADrV/xc=")</f>
        <v>#REF!</v>
      </c>
      <c r="Y25" t="e">
        <f>AND('Listado General'!#REF!,"AAAAADrV/xg=")</f>
        <v>#REF!</v>
      </c>
      <c r="Z25" t="e">
        <f>AND('Listado General'!#REF!,"AAAAADrV/xk=")</f>
        <v>#REF!</v>
      </c>
      <c r="AA25" t="e">
        <f>AND('Listado General'!#REF!,"AAAAADrV/xo=")</f>
        <v>#REF!</v>
      </c>
      <c r="AB25" t="e">
        <f>AND('Listado General'!#REF!,"AAAAADrV/xs=")</f>
        <v>#REF!</v>
      </c>
      <c r="AC25" t="e">
        <f>AND('Listado General'!#REF!,"AAAAADrV/xw=")</f>
        <v>#REF!</v>
      </c>
      <c r="AD25" t="e">
        <f>AND('Listado General'!#REF!,"AAAAADrV/x0=")</f>
        <v>#REF!</v>
      </c>
      <c r="AE25" t="e">
        <f>AND('Listado General'!#REF!,"AAAAADrV/x4=")</f>
        <v>#REF!</v>
      </c>
      <c r="AF25" t="e">
        <f>IF('Listado General'!#REF!,"AAAAADrV/x8=",0)</f>
        <v>#REF!</v>
      </c>
      <c r="AG25" t="e">
        <f>AND('Listado General'!#REF!,"AAAAADrV/yA=")</f>
        <v>#REF!</v>
      </c>
      <c r="AH25" t="e">
        <f>AND('Listado General'!#REF!,"AAAAADrV/yE=")</f>
        <v>#REF!</v>
      </c>
      <c r="AI25" t="e">
        <f>AND('Listado General'!#REF!,"AAAAADrV/yI=")</f>
        <v>#REF!</v>
      </c>
      <c r="AJ25" t="e">
        <f>AND('Listado General'!#REF!,"AAAAADrV/yM=")</f>
        <v>#REF!</v>
      </c>
      <c r="AK25" t="e">
        <f>AND('Listado General'!#REF!,"AAAAADrV/yQ=")</f>
        <v>#REF!</v>
      </c>
      <c r="AL25" t="e">
        <f>AND('Listado General'!#REF!,"AAAAADrV/yU=")</f>
        <v>#REF!</v>
      </c>
      <c r="AM25" t="e">
        <f>AND('Listado General'!#REF!,"AAAAADrV/yY=")</f>
        <v>#REF!</v>
      </c>
      <c r="AN25" t="e">
        <f>AND('Listado General'!#REF!,"AAAAADrV/yc=")</f>
        <v>#REF!</v>
      </c>
      <c r="AO25" t="e">
        <f>AND('Listado General'!#REF!,"AAAAADrV/yg=")</f>
        <v>#REF!</v>
      </c>
      <c r="AP25" t="e">
        <f>IF('Listado General'!#REF!,"AAAAADrV/yk=",0)</f>
        <v>#REF!</v>
      </c>
      <c r="AQ25" t="e">
        <f>AND('Listado General'!#REF!,"AAAAADrV/yo=")</f>
        <v>#REF!</v>
      </c>
      <c r="AR25" t="e">
        <f>AND('Listado General'!#REF!,"AAAAADrV/ys=")</f>
        <v>#REF!</v>
      </c>
      <c r="AS25" t="e">
        <f>AND('Listado General'!#REF!,"AAAAADrV/yw=")</f>
        <v>#REF!</v>
      </c>
      <c r="AT25" t="e">
        <f>AND('Listado General'!#REF!,"AAAAADrV/y0=")</f>
        <v>#REF!</v>
      </c>
      <c r="AU25" t="e">
        <f>AND('Listado General'!#REF!,"AAAAADrV/y4=")</f>
        <v>#REF!</v>
      </c>
      <c r="AV25" t="e">
        <f>AND('Listado General'!#REF!,"AAAAADrV/y8=")</f>
        <v>#REF!</v>
      </c>
      <c r="AW25" t="e">
        <f>AND('Listado General'!#REF!,"AAAAADrV/zA=")</f>
        <v>#REF!</v>
      </c>
      <c r="AX25" t="e">
        <f>AND('Listado General'!#REF!,"AAAAADrV/zE=")</f>
        <v>#REF!</v>
      </c>
      <c r="AY25" t="e">
        <f>AND('Listado General'!#REF!,"AAAAADrV/zI=")</f>
        <v>#REF!</v>
      </c>
      <c r="AZ25" t="e">
        <f>IF('Listado General'!#REF!,"AAAAADrV/zM=",0)</f>
        <v>#REF!</v>
      </c>
      <c r="BA25" t="e">
        <f>AND('Listado General'!#REF!,"AAAAADrV/zQ=")</f>
        <v>#REF!</v>
      </c>
      <c r="BB25" t="e">
        <f>AND('Listado General'!#REF!,"AAAAADrV/zU=")</f>
        <v>#REF!</v>
      </c>
      <c r="BC25" t="e">
        <f>AND('Listado General'!#REF!,"AAAAADrV/zY=")</f>
        <v>#REF!</v>
      </c>
      <c r="BD25" t="e">
        <f>AND('Listado General'!#REF!,"AAAAADrV/zc=")</f>
        <v>#REF!</v>
      </c>
      <c r="BE25" t="e">
        <f>AND('Listado General'!#REF!,"AAAAADrV/zg=")</f>
        <v>#REF!</v>
      </c>
      <c r="BF25" t="e">
        <f>AND('Listado General'!#REF!,"AAAAADrV/zk=")</f>
        <v>#REF!</v>
      </c>
      <c r="BG25" t="e">
        <f>AND('Listado General'!#REF!,"AAAAADrV/zo=")</f>
        <v>#REF!</v>
      </c>
      <c r="BH25" t="e">
        <f>AND('Listado General'!#REF!,"AAAAADrV/zs=")</f>
        <v>#REF!</v>
      </c>
      <c r="BI25" t="e">
        <f>AND('Listado General'!#REF!,"AAAAADrV/zw=")</f>
        <v>#REF!</v>
      </c>
      <c r="BJ25" t="e">
        <f>IF('Listado General'!#REF!,"AAAAADrV/z0=",0)</f>
        <v>#REF!</v>
      </c>
      <c r="BK25" t="e">
        <f>AND('Listado General'!#REF!,"AAAAADrV/z4=")</f>
        <v>#REF!</v>
      </c>
      <c r="BL25" t="e">
        <f>AND('Listado General'!#REF!,"AAAAADrV/z8=")</f>
        <v>#REF!</v>
      </c>
      <c r="BM25" t="e">
        <f>AND('Listado General'!#REF!,"AAAAADrV/0A=")</f>
        <v>#REF!</v>
      </c>
      <c r="BN25" t="e">
        <f>AND('Listado General'!#REF!,"AAAAADrV/0E=")</f>
        <v>#REF!</v>
      </c>
      <c r="BO25" t="e">
        <f>AND('Listado General'!#REF!,"AAAAADrV/0I=")</f>
        <v>#REF!</v>
      </c>
      <c r="BP25" t="e">
        <f>AND('Listado General'!#REF!,"AAAAADrV/0M=")</f>
        <v>#REF!</v>
      </c>
      <c r="BQ25" t="e">
        <f>AND('Listado General'!#REF!,"AAAAADrV/0Q=")</f>
        <v>#REF!</v>
      </c>
      <c r="BR25" t="e">
        <f>AND('Listado General'!#REF!,"AAAAADrV/0U=")</f>
        <v>#REF!</v>
      </c>
      <c r="BS25" t="e">
        <f>AND('Listado General'!#REF!,"AAAAADrV/0Y=")</f>
        <v>#REF!</v>
      </c>
      <c r="BT25" t="e">
        <f>IF('Listado General'!#REF!,"AAAAADrV/0c=",0)</f>
        <v>#REF!</v>
      </c>
      <c r="BU25" t="e">
        <f>AND('Listado General'!#REF!,"AAAAADrV/0g=")</f>
        <v>#REF!</v>
      </c>
      <c r="BV25" t="e">
        <f>AND('Listado General'!#REF!,"AAAAADrV/0k=")</f>
        <v>#REF!</v>
      </c>
      <c r="BW25" t="e">
        <f>AND('Listado General'!#REF!,"AAAAADrV/0o=")</f>
        <v>#REF!</v>
      </c>
      <c r="BX25" t="e">
        <f>AND('Listado General'!#REF!,"AAAAADrV/0s=")</f>
        <v>#REF!</v>
      </c>
      <c r="BY25" t="e">
        <f>AND('Listado General'!#REF!,"AAAAADrV/0w=")</f>
        <v>#REF!</v>
      </c>
      <c r="BZ25" t="e">
        <f>AND('Listado General'!#REF!,"AAAAADrV/00=")</f>
        <v>#REF!</v>
      </c>
      <c r="CA25" t="e">
        <f>AND('Listado General'!#REF!,"AAAAADrV/04=")</f>
        <v>#REF!</v>
      </c>
      <c r="CB25" t="e">
        <f>AND('Listado General'!#REF!,"AAAAADrV/08=")</f>
        <v>#REF!</v>
      </c>
      <c r="CC25" t="e">
        <f>AND('Listado General'!#REF!,"AAAAADrV/1A=")</f>
        <v>#REF!</v>
      </c>
      <c r="CD25" t="e">
        <f>IF('Listado General'!#REF!,"AAAAADrV/1E=",0)</f>
        <v>#REF!</v>
      </c>
      <c r="CE25" t="e">
        <f>AND('Listado General'!#REF!,"AAAAADrV/1I=")</f>
        <v>#REF!</v>
      </c>
      <c r="CF25" t="e">
        <f>AND('Listado General'!#REF!,"AAAAADrV/1M=")</f>
        <v>#REF!</v>
      </c>
      <c r="CG25" t="e">
        <f>AND('Listado General'!#REF!,"AAAAADrV/1Q=")</f>
        <v>#REF!</v>
      </c>
      <c r="CH25" t="e">
        <f>AND('Listado General'!#REF!,"AAAAADrV/1U=")</f>
        <v>#REF!</v>
      </c>
      <c r="CI25" t="e">
        <f>AND('Listado General'!#REF!,"AAAAADrV/1Y=")</f>
        <v>#REF!</v>
      </c>
      <c r="CJ25" t="e">
        <f>AND('Listado General'!#REF!,"AAAAADrV/1c=")</f>
        <v>#REF!</v>
      </c>
      <c r="CK25" t="e">
        <f>AND('Listado General'!#REF!,"AAAAADrV/1g=")</f>
        <v>#REF!</v>
      </c>
      <c r="CL25" t="e">
        <f>AND('Listado General'!#REF!,"AAAAADrV/1k=")</f>
        <v>#REF!</v>
      </c>
      <c r="CM25" t="e">
        <f>AND('Listado General'!#REF!,"AAAAADrV/1o=")</f>
        <v>#REF!</v>
      </c>
      <c r="CN25" t="e">
        <f>IF('Listado General'!#REF!,"AAAAADrV/1s=",0)</f>
        <v>#REF!</v>
      </c>
      <c r="CO25" t="e">
        <f>AND('Listado General'!#REF!,"AAAAADrV/1w=")</f>
        <v>#REF!</v>
      </c>
      <c r="CP25" t="e">
        <f>AND('Listado General'!#REF!,"AAAAADrV/10=")</f>
        <v>#REF!</v>
      </c>
      <c r="CQ25" t="e">
        <f>AND('Listado General'!#REF!,"AAAAADrV/14=")</f>
        <v>#REF!</v>
      </c>
      <c r="CR25" t="e">
        <f>AND('Listado General'!#REF!,"AAAAADrV/18=")</f>
        <v>#REF!</v>
      </c>
      <c r="CS25" t="e">
        <f>AND('Listado General'!#REF!,"AAAAADrV/2A=")</f>
        <v>#REF!</v>
      </c>
      <c r="CT25" t="e">
        <f>AND('Listado General'!#REF!,"AAAAADrV/2E=")</f>
        <v>#REF!</v>
      </c>
      <c r="CU25" t="e">
        <f>AND('Listado General'!#REF!,"AAAAADrV/2I=")</f>
        <v>#REF!</v>
      </c>
      <c r="CV25" t="e">
        <f>AND('Listado General'!#REF!,"AAAAADrV/2M=")</f>
        <v>#REF!</v>
      </c>
      <c r="CW25" t="e">
        <f>AND('Listado General'!#REF!,"AAAAADrV/2Q=")</f>
        <v>#REF!</v>
      </c>
      <c r="CX25" t="e">
        <f>IF('Listado General'!#REF!,"AAAAADrV/2U=",0)</f>
        <v>#REF!</v>
      </c>
      <c r="CY25" t="e">
        <f>AND('Listado General'!#REF!,"AAAAADrV/2Y=")</f>
        <v>#REF!</v>
      </c>
      <c r="CZ25" t="e">
        <f>AND('Listado General'!#REF!,"AAAAADrV/2c=")</f>
        <v>#REF!</v>
      </c>
      <c r="DA25" t="e">
        <f>AND('Listado General'!#REF!,"AAAAADrV/2g=")</f>
        <v>#REF!</v>
      </c>
      <c r="DB25" t="e">
        <f>AND('Listado General'!#REF!,"AAAAADrV/2k=")</f>
        <v>#REF!</v>
      </c>
      <c r="DC25" t="e">
        <f>AND('Listado General'!#REF!,"AAAAADrV/2o=")</f>
        <v>#REF!</v>
      </c>
      <c r="DD25" t="e">
        <f>AND('Listado General'!#REF!,"AAAAADrV/2s=")</f>
        <v>#REF!</v>
      </c>
      <c r="DE25" t="e">
        <f>AND('Listado General'!#REF!,"AAAAADrV/2w=")</f>
        <v>#REF!</v>
      </c>
      <c r="DF25" t="e">
        <f>AND('Listado General'!#REF!,"AAAAADrV/20=")</f>
        <v>#REF!</v>
      </c>
      <c r="DG25" t="e">
        <f>AND('Listado General'!#REF!,"AAAAADrV/24=")</f>
        <v>#REF!</v>
      </c>
      <c r="DH25" t="e">
        <f>IF('Listado General'!#REF!,"AAAAADrV/28=",0)</f>
        <v>#REF!</v>
      </c>
      <c r="DI25" t="e">
        <f>AND('Listado General'!#REF!,"AAAAADrV/3A=")</f>
        <v>#REF!</v>
      </c>
      <c r="DJ25" t="e">
        <f>AND('Listado General'!#REF!,"AAAAADrV/3E=")</f>
        <v>#REF!</v>
      </c>
      <c r="DK25" t="e">
        <f>AND('Listado General'!#REF!,"AAAAADrV/3I=")</f>
        <v>#REF!</v>
      </c>
      <c r="DL25" t="e">
        <f>AND('Listado General'!#REF!,"AAAAADrV/3M=")</f>
        <v>#REF!</v>
      </c>
      <c r="DM25" t="e">
        <f>AND('Listado General'!#REF!,"AAAAADrV/3Q=")</f>
        <v>#REF!</v>
      </c>
      <c r="DN25" t="e">
        <f>AND('Listado General'!#REF!,"AAAAADrV/3U=")</f>
        <v>#REF!</v>
      </c>
      <c r="DO25" t="e">
        <f>AND('Listado General'!#REF!,"AAAAADrV/3Y=")</f>
        <v>#REF!</v>
      </c>
      <c r="DP25" t="e">
        <f>AND('Listado General'!#REF!,"AAAAADrV/3c=")</f>
        <v>#REF!</v>
      </c>
      <c r="DQ25" t="e">
        <f>AND('Listado General'!#REF!,"AAAAADrV/3g=")</f>
        <v>#REF!</v>
      </c>
      <c r="DR25" t="e">
        <f>IF('Listado General'!#REF!,"AAAAADrV/3k=",0)</f>
        <v>#REF!</v>
      </c>
      <c r="DS25" t="e">
        <f>AND('Listado General'!#REF!,"AAAAADrV/3o=")</f>
        <v>#REF!</v>
      </c>
      <c r="DT25" t="e">
        <f>AND('Listado General'!#REF!,"AAAAADrV/3s=")</f>
        <v>#REF!</v>
      </c>
      <c r="DU25" t="e">
        <f>AND('Listado General'!#REF!,"AAAAADrV/3w=")</f>
        <v>#REF!</v>
      </c>
      <c r="DV25" t="e">
        <f>AND('Listado General'!#REF!,"AAAAADrV/30=")</f>
        <v>#REF!</v>
      </c>
      <c r="DW25" t="e">
        <f>AND('Listado General'!#REF!,"AAAAADrV/34=")</f>
        <v>#REF!</v>
      </c>
      <c r="DX25" t="e">
        <f>AND('Listado General'!#REF!,"AAAAADrV/38=")</f>
        <v>#REF!</v>
      </c>
      <c r="DY25" t="e">
        <f>AND('Listado General'!#REF!,"AAAAADrV/4A=")</f>
        <v>#REF!</v>
      </c>
      <c r="DZ25" t="e">
        <f>AND('Listado General'!#REF!,"AAAAADrV/4E=")</f>
        <v>#REF!</v>
      </c>
      <c r="EA25" t="e">
        <f>AND('Listado General'!#REF!,"AAAAADrV/4I=")</f>
        <v>#REF!</v>
      </c>
      <c r="EB25" t="e">
        <f>IF('Listado General'!#REF!,"AAAAADrV/4M=",0)</f>
        <v>#REF!</v>
      </c>
      <c r="EC25" t="e">
        <f>AND('Listado General'!#REF!,"AAAAADrV/4Q=")</f>
        <v>#REF!</v>
      </c>
      <c r="ED25" t="e">
        <f>AND('Listado General'!#REF!,"AAAAADrV/4U=")</f>
        <v>#REF!</v>
      </c>
      <c r="EE25" t="e">
        <f>AND('Listado General'!#REF!,"AAAAADrV/4Y=")</f>
        <v>#REF!</v>
      </c>
      <c r="EF25" t="e">
        <f>AND('Listado General'!#REF!,"AAAAADrV/4c=")</f>
        <v>#REF!</v>
      </c>
      <c r="EG25" t="e">
        <f>AND('Listado General'!#REF!,"AAAAADrV/4g=")</f>
        <v>#REF!</v>
      </c>
      <c r="EH25" t="e">
        <f>AND('Listado General'!#REF!,"AAAAADrV/4k=")</f>
        <v>#REF!</v>
      </c>
      <c r="EI25" t="e">
        <f>AND('Listado General'!#REF!,"AAAAADrV/4o=")</f>
        <v>#REF!</v>
      </c>
      <c r="EJ25" t="e">
        <f>AND('Listado General'!#REF!,"AAAAADrV/4s=")</f>
        <v>#REF!</v>
      </c>
      <c r="EK25" t="e">
        <f>AND('Listado General'!#REF!,"AAAAADrV/4w=")</f>
        <v>#REF!</v>
      </c>
      <c r="EL25" t="e">
        <f>IF('Listado General'!#REF!,"AAAAADrV/40=",0)</f>
        <v>#REF!</v>
      </c>
      <c r="EM25" t="e">
        <f>AND('Listado General'!#REF!,"AAAAADrV/44=")</f>
        <v>#REF!</v>
      </c>
      <c r="EN25" t="e">
        <f>AND('Listado General'!#REF!,"AAAAADrV/48=")</f>
        <v>#REF!</v>
      </c>
      <c r="EO25" t="e">
        <f>AND('Listado General'!#REF!,"AAAAADrV/5A=")</f>
        <v>#REF!</v>
      </c>
      <c r="EP25" t="e">
        <f>AND('Listado General'!#REF!,"AAAAADrV/5E=")</f>
        <v>#REF!</v>
      </c>
      <c r="EQ25" t="e">
        <f>AND('Listado General'!#REF!,"AAAAADrV/5I=")</f>
        <v>#REF!</v>
      </c>
      <c r="ER25" t="e">
        <f>AND('Listado General'!#REF!,"AAAAADrV/5M=")</f>
        <v>#REF!</v>
      </c>
      <c r="ES25" t="e">
        <f>AND('Listado General'!#REF!,"AAAAADrV/5Q=")</f>
        <v>#REF!</v>
      </c>
      <c r="ET25" t="e">
        <f>AND('Listado General'!#REF!,"AAAAADrV/5U=")</f>
        <v>#REF!</v>
      </c>
      <c r="EU25" t="e">
        <f>AND('Listado General'!#REF!,"AAAAADrV/5Y=")</f>
        <v>#REF!</v>
      </c>
      <c r="EV25" t="e">
        <f>IF('Listado General'!#REF!,"AAAAADrV/5c=",0)</f>
        <v>#REF!</v>
      </c>
      <c r="EW25" t="e">
        <f>AND('Listado General'!#REF!,"AAAAADrV/5g=")</f>
        <v>#REF!</v>
      </c>
      <c r="EX25" t="e">
        <f>AND('Listado General'!#REF!,"AAAAADrV/5k=")</f>
        <v>#REF!</v>
      </c>
      <c r="EY25" t="e">
        <f>AND('Listado General'!#REF!,"AAAAADrV/5o=")</f>
        <v>#REF!</v>
      </c>
      <c r="EZ25" t="e">
        <f>AND('Listado General'!#REF!,"AAAAADrV/5s=")</f>
        <v>#REF!</v>
      </c>
      <c r="FA25" t="e">
        <f>AND('Listado General'!#REF!,"AAAAADrV/5w=")</f>
        <v>#REF!</v>
      </c>
      <c r="FB25" t="e">
        <f>AND('Listado General'!#REF!,"AAAAADrV/50=")</f>
        <v>#REF!</v>
      </c>
      <c r="FC25" t="e">
        <f>AND('Listado General'!#REF!,"AAAAADrV/54=")</f>
        <v>#REF!</v>
      </c>
      <c r="FD25" t="e">
        <f>AND('Listado General'!#REF!,"AAAAADrV/58=")</f>
        <v>#REF!</v>
      </c>
      <c r="FE25" t="e">
        <f>AND('Listado General'!#REF!,"AAAAADrV/6A=")</f>
        <v>#REF!</v>
      </c>
      <c r="FF25" t="e">
        <f>IF('Listado General'!#REF!,"AAAAADrV/6E=",0)</f>
        <v>#REF!</v>
      </c>
      <c r="FG25" t="e">
        <f>AND('Listado General'!#REF!,"AAAAADrV/6I=")</f>
        <v>#REF!</v>
      </c>
      <c r="FH25" t="e">
        <f>AND('Listado General'!#REF!,"AAAAADrV/6M=")</f>
        <v>#REF!</v>
      </c>
      <c r="FI25" t="e">
        <f>AND('Listado General'!#REF!,"AAAAADrV/6Q=")</f>
        <v>#REF!</v>
      </c>
      <c r="FJ25" t="e">
        <f>AND('Listado General'!#REF!,"AAAAADrV/6U=")</f>
        <v>#REF!</v>
      </c>
      <c r="FK25" t="e">
        <f>AND('Listado General'!#REF!,"AAAAADrV/6Y=")</f>
        <v>#REF!</v>
      </c>
      <c r="FL25" t="e">
        <f>AND('Listado General'!#REF!,"AAAAADrV/6c=")</f>
        <v>#REF!</v>
      </c>
      <c r="FM25" t="e">
        <f>AND('Listado General'!#REF!,"AAAAADrV/6g=")</f>
        <v>#REF!</v>
      </c>
      <c r="FN25" t="e">
        <f>AND('Listado General'!#REF!,"AAAAADrV/6k=")</f>
        <v>#REF!</v>
      </c>
      <c r="FO25" t="e">
        <f>AND('Listado General'!#REF!,"AAAAADrV/6o=")</f>
        <v>#REF!</v>
      </c>
      <c r="FP25" t="e">
        <f>IF('Listado General'!#REF!,"AAAAADrV/6s=",0)</f>
        <v>#REF!</v>
      </c>
      <c r="FQ25" t="e">
        <f>AND('Listado General'!#REF!,"AAAAADrV/6w=")</f>
        <v>#REF!</v>
      </c>
      <c r="FR25" t="e">
        <f>AND('Listado General'!#REF!,"AAAAADrV/60=")</f>
        <v>#REF!</v>
      </c>
      <c r="FS25" t="e">
        <f>AND('Listado General'!#REF!,"AAAAADrV/64=")</f>
        <v>#REF!</v>
      </c>
      <c r="FT25" t="e">
        <f>AND('Listado General'!#REF!,"AAAAADrV/68=")</f>
        <v>#REF!</v>
      </c>
      <c r="FU25" t="e">
        <f>AND('Listado General'!#REF!,"AAAAADrV/7A=")</f>
        <v>#REF!</v>
      </c>
      <c r="FV25" t="e">
        <f>AND('Listado General'!#REF!,"AAAAADrV/7E=")</f>
        <v>#REF!</v>
      </c>
      <c r="FW25" t="e">
        <f>AND('Listado General'!#REF!,"AAAAADrV/7I=")</f>
        <v>#REF!</v>
      </c>
      <c r="FX25" t="e">
        <f>AND('Listado General'!#REF!,"AAAAADrV/7M=")</f>
        <v>#REF!</v>
      </c>
      <c r="FY25" t="e">
        <f>AND('Listado General'!#REF!,"AAAAADrV/7Q=")</f>
        <v>#REF!</v>
      </c>
      <c r="FZ25" t="e">
        <f>IF('Listado General'!#REF!,"AAAAADrV/7U=",0)</f>
        <v>#REF!</v>
      </c>
      <c r="GA25" t="e">
        <f>AND('Listado General'!#REF!,"AAAAADrV/7Y=")</f>
        <v>#REF!</v>
      </c>
      <c r="GB25" t="e">
        <f>AND('Listado General'!#REF!,"AAAAADrV/7c=")</f>
        <v>#REF!</v>
      </c>
      <c r="GC25" t="e">
        <f>AND('Listado General'!#REF!,"AAAAADrV/7g=")</f>
        <v>#REF!</v>
      </c>
      <c r="GD25" t="e">
        <f>AND('Listado General'!#REF!,"AAAAADrV/7k=")</f>
        <v>#REF!</v>
      </c>
      <c r="GE25" t="e">
        <f>AND('Listado General'!#REF!,"AAAAADrV/7o=")</f>
        <v>#REF!</v>
      </c>
      <c r="GF25" t="e">
        <f>AND('Listado General'!#REF!,"AAAAADrV/7s=")</f>
        <v>#REF!</v>
      </c>
      <c r="GG25" t="e">
        <f>AND('Listado General'!#REF!,"AAAAADrV/7w=")</f>
        <v>#REF!</v>
      </c>
      <c r="GH25" t="e">
        <f>AND('Listado General'!#REF!,"AAAAADrV/70=")</f>
        <v>#REF!</v>
      </c>
      <c r="GI25" t="e">
        <f>AND('Listado General'!#REF!,"AAAAADrV/74=")</f>
        <v>#REF!</v>
      </c>
      <c r="GJ25" t="e">
        <f>IF('Listado General'!#REF!,"AAAAADrV/78=",0)</f>
        <v>#REF!</v>
      </c>
      <c r="GK25" t="e">
        <f>AND('Listado General'!#REF!,"AAAAADrV/8A=")</f>
        <v>#REF!</v>
      </c>
      <c r="GL25" t="e">
        <f>AND('Listado General'!#REF!,"AAAAADrV/8E=")</f>
        <v>#REF!</v>
      </c>
      <c r="GM25" t="e">
        <f>AND('Listado General'!#REF!,"AAAAADrV/8I=")</f>
        <v>#REF!</v>
      </c>
      <c r="GN25" t="e">
        <f>AND('Listado General'!#REF!,"AAAAADrV/8M=")</f>
        <v>#REF!</v>
      </c>
      <c r="GO25" t="e">
        <f>AND('Listado General'!#REF!,"AAAAADrV/8Q=")</f>
        <v>#REF!</v>
      </c>
      <c r="GP25" t="e">
        <f>AND('Listado General'!#REF!,"AAAAADrV/8U=")</f>
        <v>#REF!</v>
      </c>
      <c r="GQ25" t="e">
        <f>AND('Listado General'!#REF!,"AAAAADrV/8Y=")</f>
        <v>#REF!</v>
      </c>
      <c r="GR25" t="e">
        <f>AND('Listado General'!#REF!,"AAAAADrV/8c=")</f>
        <v>#REF!</v>
      </c>
      <c r="GS25" t="e">
        <f>AND('Listado General'!#REF!,"AAAAADrV/8g=")</f>
        <v>#REF!</v>
      </c>
      <c r="GT25" t="e">
        <f>IF('Listado General'!#REF!,"AAAAADrV/8k=",0)</f>
        <v>#REF!</v>
      </c>
      <c r="GU25" t="e">
        <f>AND('Listado General'!#REF!,"AAAAADrV/8o=")</f>
        <v>#REF!</v>
      </c>
      <c r="GV25" t="e">
        <f>AND('Listado General'!#REF!,"AAAAADrV/8s=")</f>
        <v>#REF!</v>
      </c>
      <c r="GW25" t="e">
        <f>AND('Listado General'!#REF!,"AAAAADrV/8w=")</f>
        <v>#REF!</v>
      </c>
      <c r="GX25" t="e">
        <f>AND('Listado General'!#REF!,"AAAAADrV/80=")</f>
        <v>#REF!</v>
      </c>
      <c r="GY25" t="e">
        <f>AND('Listado General'!#REF!,"AAAAADrV/84=")</f>
        <v>#REF!</v>
      </c>
      <c r="GZ25" t="e">
        <f>AND('Listado General'!#REF!,"AAAAADrV/88=")</f>
        <v>#REF!</v>
      </c>
      <c r="HA25" t="e">
        <f>AND('Listado General'!#REF!,"AAAAADrV/9A=")</f>
        <v>#REF!</v>
      </c>
      <c r="HB25" t="e">
        <f>AND('Listado General'!#REF!,"AAAAADrV/9E=")</f>
        <v>#REF!</v>
      </c>
      <c r="HC25" t="e">
        <f>AND('Listado General'!#REF!,"AAAAADrV/9I=")</f>
        <v>#REF!</v>
      </c>
      <c r="HD25" t="e">
        <f>IF('Listado General'!#REF!,"AAAAADrV/9M=",0)</f>
        <v>#REF!</v>
      </c>
      <c r="HE25" t="e">
        <f>AND('Listado General'!#REF!,"AAAAADrV/9Q=")</f>
        <v>#REF!</v>
      </c>
      <c r="HF25" t="e">
        <f>AND('Listado General'!#REF!,"AAAAADrV/9U=")</f>
        <v>#REF!</v>
      </c>
      <c r="HG25" t="e">
        <f>AND('Listado General'!#REF!,"AAAAADrV/9Y=")</f>
        <v>#REF!</v>
      </c>
      <c r="HH25" t="e">
        <f>AND('Listado General'!#REF!,"AAAAADrV/9c=")</f>
        <v>#REF!</v>
      </c>
      <c r="HI25" t="e">
        <f>AND('Listado General'!#REF!,"AAAAADrV/9g=")</f>
        <v>#REF!</v>
      </c>
      <c r="HJ25" t="e">
        <f>AND('Listado General'!#REF!,"AAAAADrV/9k=")</f>
        <v>#REF!</v>
      </c>
      <c r="HK25" t="e">
        <f>AND('Listado General'!#REF!,"AAAAADrV/9o=")</f>
        <v>#REF!</v>
      </c>
      <c r="HL25" t="e">
        <f>AND('Listado General'!#REF!,"AAAAADrV/9s=")</f>
        <v>#REF!</v>
      </c>
      <c r="HM25" t="e">
        <f>AND('Listado General'!#REF!,"AAAAADrV/9w=")</f>
        <v>#REF!</v>
      </c>
      <c r="HN25" t="e">
        <f>IF('Listado General'!#REF!,"AAAAADrV/90=",0)</f>
        <v>#REF!</v>
      </c>
      <c r="HO25" t="e">
        <f>AND('Listado General'!#REF!,"AAAAADrV/94=")</f>
        <v>#REF!</v>
      </c>
      <c r="HP25" t="e">
        <f>AND('Listado General'!#REF!,"AAAAADrV/98=")</f>
        <v>#REF!</v>
      </c>
      <c r="HQ25" t="e">
        <f>AND('Listado General'!#REF!,"AAAAADrV/+A=")</f>
        <v>#REF!</v>
      </c>
      <c r="HR25" t="e">
        <f>AND('Listado General'!#REF!,"AAAAADrV/+E=")</f>
        <v>#REF!</v>
      </c>
      <c r="HS25" t="e">
        <f>AND('Listado General'!#REF!,"AAAAADrV/+I=")</f>
        <v>#REF!</v>
      </c>
      <c r="HT25" t="e">
        <f>AND('Listado General'!#REF!,"AAAAADrV/+M=")</f>
        <v>#REF!</v>
      </c>
      <c r="HU25" t="e">
        <f>AND('Listado General'!#REF!,"AAAAADrV/+Q=")</f>
        <v>#REF!</v>
      </c>
      <c r="HV25" t="e">
        <f>AND('Listado General'!#REF!,"AAAAADrV/+U=")</f>
        <v>#REF!</v>
      </c>
      <c r="HW25" t="e">
        <f>AND('Listado General'!#REF!,"AAAAADrV/+Y=")</f>
        <v>#REF!</v>
      </c>
      <c r="HX25" t="e">
        <f>IF('Listado General'!#REF!,"AAAAADrV/+c=",0)</f>
        <v>#REF!</v>
      </c>
      <c r="HY25" t="e">
        <f>AND('Listado General'!#REF!,"AAAAADrV/+g=")</f>
        <v>#REF!</v>
      </c>
      <c r="HZ25" t="e">
        <f>AND('Listado General'!#REF!,"AAAAADrV/+k=")</f>
        <v>#REF!</v>
      </c>
      <c r="IA25" t="e">
        <f>AND('Listado General'!#REF!,"AAAAADrV/+o=")</f>
        <v>#REF!</v>
      </c>
      <c r="IB25" t="e">
        <f>AND('Listado General'!#REF!,"AAAAADrV/+s=")</f>
        <v>#REF!</v>
      </c>
      <c r="IC25" t="e">
        <f>AND('Listado General'!#REF!,"AAAAADrV/+w=")</f>
        <v>#REF!</v>
      </c>
      <c r="ID25" t="e">
        <f>AND('Listado General'!#REF!,"AAAAADrV/+0=")</f>
        <v>#REF!</v>
      </c>
      <c r="IE25" t="e">
        <f>AND('Listado General'!#REF!,"AAAAADrV/+4=")</f>
        <v>#REF!</v>
      </c>
      <c r="IF25" t="e">
        <f>AND('Listado General'!#REF!,"AAAAADrV/+8=")</f>
        <v>#REF!</v>
      </c>
      <c r="IG25" t="e">
        <f>AND('Listado General'!#REF!,"AAAAADrV//A=")</f>
        <v>#REF!</v>
      </c>
      <c r="IH25" t="e">
        <f>IF('Listado General'!#REF!,"AAAAADrV//E=",0)</f>
        <v>#REF!</v>
      </c>
      <c r="II25" t="e">
        <f>AND('Listado General'!#REF!,"AAAAADrV//I=")</f>
        <v>#REF!</v>
      </c>
      <c r="IJ25" t="e">
        <f>AND('Listado General'!#REF!,"AAAAADrV//M=")</f>
        <v>#REF!</v>
      </c>
      <c r="IK25" t="e">
        <f>AND('Listado General'!#REF!,"AAAAADrV//Q=")</f>
        <v>#REF!</v>
      </c>
      <c r="IL25" t="e">
        <f>AND('Listado General'!#REF!,"AAAAADrV//U=")</f>
        <v>#REF!</v>
      </c>
      <c r="IM25" t="e">
        <f>AND('Listado General'!#REF!,"AAAAADrV//Y=")</f>
        <v>#REF!</v>
      </c>
      <c r="IN25" t="e">
        <f>AND('Listado General'!#REF!,"AAAAADrV//c=")</f>
        <v>#REF!</v>
      </c>
      <c r="IO25" t="e">
        <f>AND('Listado General'!#REF!,"AAAAADrV//g=")</f>
        <v>#REF!</v>
      </c>
      <c r="IP25" t="e">
        <f>AND('Listado General'!#REF!,"AAAAADrV//k=")</f>
        <v>#REF!</v>
      </c>
      <c r="IQ25" t="e">
        <f>AND('Listado General'!#REF!,"AAAAADrV//o=")</f>
        <v>#REF!</v>
      </c>
      <c r="IR25" t="e">
        <f>IF('Listado General'!#REF!,"AAAAADrV//s=",0)</f>
        <v>#REF!</v>
      </c>
      <c r="IS25" t="e">
        <f>AND('Listado General'!#REF!,"AAAAADrV//w=")</f>
        <v>#REF!</v>
      </c>
      <c r="IT25" t="e">
        <f>AND('Listado General'!#REF!,"AAAAADrV//0=")</f>
        <v>#REF!</v>
      </c>
      <c r="IU25" t="e">
        <f>AND('Listado General'!#REF!,"AAAAADrV//4=")</f>
        <v>#REF!</v>
      </c>
      <c r="IV25" t="e">
        <f>AND('Listado General'!#REF!,"AAAAADrV//8=")</f>
        <v>#REF!</v>
      </c>
    </row>
    <row r="26" spans="1:256" ht="12.75">
      <c r="A26" t="e">
        <f>AND('Listado General'!#REF!,"AAAAAHW1+QA=")</f>
        <v>#REF!</v>
      </c>
      <c r="B26" t="e">
        <f>AND('Listado General'!#REF!,"AAAAAHW1+QE=")</f>
        <v>#REF!</v>
      </c>
      <c r="C26" t="e">
        <f>AND('Listado General'!#REF!,"AAAAAHW1+QI=")</f>
        <v>#REF!</v>
      </c>
      <c r="D26" t="e">
        <f>AND('Listado General'!#REF!,"AAAAAHW1+QM=")</f>
        <v>#REF!</v>
      </c>
      <c r="E26" t="e">
        <f>AND('Listado General'!#REF!,"AAAAAHW1+QQ=")</f>
        <v>#REF!</v>
      </c>
      <c r="F26" t="e">
        <f>IF('Listado General'!#REF!,"AAAAAHW1+QU=",0)</f>
        <v>#REF!</v>
      </c>
      <c r="G26" t="e">
        <f>AND('Listado General'!#REF!,"AAAAAHW1+QY=")</f>
        <v>#REF!</v>
      </c>
      <c r="H26" t="e">
        <f>AND('Listado General'!#REF!,"AAAAAHW1+Qc=")</f>
        <v>#REF!</v>
      </c>
      <c r="I26" t="e">
        <f>AND('Listado General'!#REF!,"AAAAAHW1+Qg=")</f>
        <v>#REF!</v>
      </c>
      <c r="J26" t="e">
        <f>AND('Listado General'!#REF!,"AAAAAHW1+Qk=")</f>
        <v>#REF!</v>
      </c>
      <c r="K26" t="e">
        <f>AND('Listado General'!#REF!,"AAAAAHW1+Qo=")</f>
        <v>#REF!</v>
      </c>
      <c r="L26" t="e">
        <f>AND('Listado General'!#REF!,"AAAAAHW1+Qs=")</f>
        <v>#REF!</v>
      </c>
      <c r="M26" t="e">
        <f>AND('Listado General'!#REF!,"AAAAAHW1+Qw=")</f>
        <v>#REF!</v>
      </c>
      <c r="N26" t="e">
        <f>AND('Listado General'!#REF!,"AAAAAHW1+Q0=")</f>
        <v>#REF!</v>
      </c>
      <c r="O26" t="e">
        <f>AND('Listado General'!#REF!,"AAAAAHW1+Q4=")</f>
        <v>#REF!</v>
      </c>
      <c r="P26" t="e">
        <f>IF('Listado General'!#REF!,"AAAAAHW1+Q8=",0)</f>
        <v>#REF!</v>
      </c>
      <c r="Q26" t="e">
        <f>AND('Listado General'!#REF!,"AAAAAHW1+RA=")</f>
        <v>#REF!</v>
      </c>
      <c r="R26" t="e">
        <f>AND('Listado General'!#REF!,"AAAAAHW1+RE=")</f>
        <v>#REF!</v>
      </c>
      <c r="S26" t="e">
        <f>AND('Listado General'!#REF!,"AAAAAHW1+RI=")</f>
        <v>#REF!</v>
      </c>
      <c r="T26" t="e">
        <f>AND('Listado General'!#REF!,"AAAAAHW1+RM=")</f>
        <v>#REF!</v>
      </c>
      <c r="U26" t="e">
        <f>AND('Listado General'!#REF!,"AAAAAHW1+RQ=")</f>
        <v>#REF!</v>
      </c>
      <c r="V26" t="e">
        <f>AND('Listado General'!#REF!,"AAAAAHW1+RU=")</f>
        <v>#REF!</v>
      </c>
      <c r="W26" t="e">
        <f>AND('Listado General'!#REF!,"AAAAAHW1+RY=")</f>
        <v>#REF!</v>
      </c>
      <c r="X26" t="e">
        <f>AND('Listado General'!#REF!,"AAAAAHW1+Rc=")</f>
        <v>#REF!</v>
      </c>
      <c r="Y26" t="e">
        <f>AND('Listado General'!#REF!,"AAAAAHW1+Rg=")</f>
        <v>#REF!</v>
      </c>
      <c r="Z26" t="e">
        <f>IF('Listado General'!#REF!,"AAAAAHW1+Rk=",0)</f>
        <v>#REF!</v>
      </c>
      <c r="AA26" t="e">
        <f>AND('Listado General'!#REF!,"AAAAAHW1+Ro=")</f>
        <v>#REF!</v>
      </c>
      <c r="AB26" t="e">
        <f>AND('Listado General'!#REF!,"AAAAAHW1+Rs=")</f>
        <v>#REF!</v>
      </c>
      <c r="AC26" t="e">
        <f>AND('Listado General'!#REF!,"AAAAAHW1+Rw=")</f>
        <v>#REF!</v>
      </c>
      <c r="AD26" t="e">
        <f>AND('Listado General'!#REF!,"AAAAAHW1+R0=")</f>
        <v>#REF!</v>
      </c>
      <c r="AE26" t="e">
        <f>AND('Listado General'!#REF!,"AAAAAHW1+R4=")</f>
        <v>#REF!</v>
      </c>
      <c r="AF26" t="e">
        <f>AND('Listado General'!#REF!,"AAAAAHW1+R8=")</f>
        <v>#REF!</v>
      </c>
      <c r="AG26" t="e">
        <f>AND('Listado General'!#REF!,"AAAAAHW1+SA=")</f>
        <v>#REF!</v>
      </c>
      <c r="AH26" t="e">
        <f>AND('Listado General'!#REF!,"AAAAAHW1+SE=")</f>
        <v>#REF!</v>
      </c>
      <c r="AI26" t="e">
        <f>AND('Listado General'!#REF!,"AAAAAHW1+SI=")</f>
        <v>#REF!</v>
      </c>
      <c r="AJ26" t="e">
        <f>IF('Listado General'!#REF!,"AAAAAHW1+SM=",0)</f>
        <v>#REF!</v>
      </c>
      <c r="AK26" t="e">
        <f>AND('Listado General'!#REF!,"AAAAAHW1+SQ=")</f>
        <v>#REF!</v>
      </c>
      <c r="AL26" t="e">
        <f>AND('Listado General'!#REF!,"AAAAAHW1+SU=")</f>
        <v>#REF!</v>
      </c>
      <c r="AM26" t="e">
        <f>AND('Listado General'!#REF!,"AAAAAHW1+SY=")</f>
        <v>#REF!</v>
      </c>
      <c r="AN26" t="e">
        <f>AND('Listado General'!#REF!,"AAAAAHW1+Sc=")</f>
        <v>#REF!</v>
      </c>
      <c r="AO26" t="e">
        <f>AND('Listado General'!#REF!,"AAAAAHW1+Sg=")</f>
        <v>#REF!</v>
      </c>
      <c r="AP26" t="e">
        <f>AND('Listado General'!#REF!,"AAAAAHW1+Sk=")</f>
        <v>#REF!</v>
      </c>
      <c r="AQ26" t="e">
        <f>AND('Listado General'!#REF!,"AAAAAHW1+So=")</f>
        <v>#REF!</v>
      </c>
      <c r="AR26" t="e">
        <f>AND('Listado General'!#REF!,"AAAAAHW1+Ss=")</f>
        <v>#REF!</v>
      </c>
      <c r="AS26" t="e">
        <f>AND('Listado General'!#REF!,"AAAAAHW1+Sw=")</f>
        <v>#REF!</v>
      </c>
      <c r="AT26" t="e">
        <f>IF('Listado General'!#REF!,"AAAAAHW1+S0=",0)</f>
        <v>#REF!</v>
      </c>
      <c r="AU26" t="e">
        <f>AND('Listado General'!#REF!,"AAAAAHW1+S4=")</f>
        <v>#REF!</v>
      </c>
      <c r="AV26" t="e">
        <f>AND('Listado General'!#REF!,"AAAAAHW1+S8=")</f>
        <v>#REF!</v>
      </c>
      <c r="AW26" t="e">
        <f>AND('Listado General'!#REF!,"AAAAAHW1+TA=")</f>
        <v>#REF!</v>
      </c>
      <c r="AX26" t="e">
        <f>AND('Listado General'!#REF!,"AAAAAHW1+TE=")</f>
        <v>#REF!</v>
      </c>
      <c r="AY26" t="e">
        <f>AND('Listado General'!#REF!,"AAAAAHW1+TI=")</f>
        <v>#REF!</v>
      </c>
      <c r="AZ26" t="e">
        <f>AND('Listado General'!#REF!,"AAAAAHW1+TM=")</f>
        <v>#REF!</v>
      </c>
      <c r="BA26" t="e">
        <f>AND('Listado General'!#REF!,"AAAAAHW1+TQ=")</f>
        <v>#REF!</v>
      </c>
      <c r="BB26" t="e">
        <f>AND('Listado General'!#REF!,"AAAAAHW1+TU=")</f>
        <v>#REF!</v>
      </c>
      <c r="BC26" t="e">
        <f>AND('Listado General'!#REF!,"AAAAAHW1+TY=")</f>
        <v>#REF!</v>
      </c>
      <c r="BD26" t="e">
        <f>IF('Listado General'!#REF!,"AAAAAHW1+Tc=",0)</f>
        <v>#REF!</v>
      </c>
      <c r="BE26" t="e">
        <f>AND('Listado General'!#REF!,"AAAAAHW1+Tg=")</f>
        <v>#REF!</v>
      </c>
      <c r="BF26" t="e">
        <f>AND('Listado General'!#REF!,"AAAAAHW1+Tk=")</f>
        <v>#REF!</v>
      </c>
      <c r="BG26" t="e">
        <f>AND('Listado General'!#REF!,"AAAAAHW1+To=")</f>
        <v>#REF!</v>
      </c>
      <c r="BH26" t="e">
        <f>AND('Listado General'!#REF!,"AAAAAHW1+Ts=")</f>
        <v>#REF!</v>
      </c>
      <c r="BI26" t="e">
        <f>AND('Listado General'!#REF!,"AAAAAHW1+Tw=")</f>
        <v>#REF!</v>
      </c>
      <c r="BJ26" t="e">
        <f>AND('Listado General'!#REF!,"AAAAAHW1+T0=")</f>
        <v>#REF!</v>
      </c>
      <c r="BK26" t="e">
        <f>AND('Listado General'!#REF!,"AAAAAHW1+T4=")</f>
        <v>#REF!</v>
      </c>
      <c r="BL26" t="e">
        <f>AND('Listado General'!#REF!,"AAAAAHW1+T8=")</f>
        <v>#REF!</v>
      </c>
      <c r="BM26" t="e">
        <f>AND('Listado General'!#REF!,"AAAAAHW1+UA=")</f>
        <v>#REF!</v>
      </c>
      <c r="BN26" t="e">
        <f>IF('Listado General'!#REF!,"AAAAAHW1+UE=",0)</f>
        <v>#REF!</v>
      </c>
      <c r="BO26" t="e">
        <f>AND('Listado General'!#REF!,"AAAAAHW1+UI=")</f>
        <v>#REF!</v>
      </c>
      <c r="BP26" t="e">
        <f>AND('Listado General'!#REF!,"AAAAAHW1+UM=")</f>
        <v>#REF!</v>
      </c>
      <c r="BQ26" t="e">
        <f>AND('Listado General'!#REF!,"AAAAAHW1+UQ=")</f>
        <v>#REF!</v>
      </c>
      <c r="BR26" t="e">
        <f>AND('Listado General'!#REF!,"AAAAAHW1+UU=")</f>
        <v>#REF!</v>
      </c>
      <c r="BS26" t="e">
        <f>AND('Listado General'!#REF!,"AAAAAHW1+UY=")</f>
        <v>#REF!</v>
      </c>
      <c r="BT26" t="e">
        <f>AND('Listado General'!#REF!,"AAAAAHW1+Uc=")</f>
        <v>#REF!</v>
      </c>
      <c r="BU26" t="e">
        <f>AND('Listado General'!#REF!,"AAAAAHW1+Ug=")</f>
        <v>#REF!</v>
      </c>
      <c r="BV26" t="e">
        <f>AND('Listado General'!#REF!,"AAAAAHW1+Uk=")</f>
        <v>#REF!</v>
      </c>
      <c r="BW26" t="e">
        <f>AND('Listado General'!#REF!,"AAAAAHW1+Uo=")</f>
        <v>#REF!</v>
      </c>
      <c r="BX26" t="e">
        <f>IF('Listado General'!#REF!,"AAAAAHW1+Us=",0)</f>
        <v>#REF!</v>
      </c>
      <c r="BY26" t="e">
        <f>AND('Listado General'!#REF!,"AAAAAHW1+Uw=")</f>
        <v>#REF!</v>
      </c>
      <c r="BZ26" t="e">
        <f>AND('Listado General'!#REF!,"AAAAAHW1+U0=")</f>
        <v>#REF!</v>
      </c>
      <c r="CA26" t="e">
        <f>AND('Listado General'!#REF!,"AAAAAHW1+U4=")</f>
        <v>#REF!</v>
      </c>
      <c r="CB26" t="e">
        <f>AND('Listado General'!#REF!,"AAAAAHW1+U8=")</f>
        <v>#REF!</v>
      </c>
      <c r="CC26" t="e">
        <f>AND('Listado General'!#REF!,"AAAAAHW1+VA=")</f>
        <v>#REF!</v>
      </c>
      <c r="CD26" t="e">
        <f>AND('Listado General'!#REF!,"AAAAAHW1+VE=")</f>
        <v>#REF!</v>
      </c>
      <c r="CE26" t="e">
        <f>AND('Listado General'!#REF!,"AAAAAHW1+VI=")</f>
        <v>#REF!</v>
      </c>
      <c r="CF26" t="e">
        <f>AND('Listado General'!#REF!,"AAAAAHW1+VM=")</f>
        <v>#REF!</v>
      </c>
      <c r="CG26" t="e">
        <f>AND('Listado General'!#REF!,"AAAAAHW1+VQ=")</f>
        <v>#REF!</v>
      </c>
      <c r="CH26" t="e">
        <f>IF('Listado General'!#REF!,"AAAAAHW1+VU=",0)</f>
        <v>#REF!</v>
      </c>
      <c r="CI26" t="e">
        <f>AND('Listado General'!#REF!,"AAAAAHW1+VY=")</f>
        <v>#REF!</v>
      </c>
      <c r="CJ26" t="e">
        <f>AND('Listado General'!#REF!,"AAAAAHW1+Vc=")</f>
        <v>#REF!</v>
      </c>
      <c r="CK26" t="e">
        <f>AND('Listado General'!#REF!,"AAAAAHW1+Vg=")</f>
        <v>#REF!</v>
      </c>
      <c r="CL26" t="e">
        <f>AND('Listado General'!#REF!,"AAAAAHW1+Vk=")</f>
        <v>#REF!</v>
      </c>
      <c r="CM26" t="e">
        <f>AND('Listado General'!#REF!,"AAAAAHW1+Vo=")</f>
        <v>#REF!</v>
      </c>
      <c r="CN26" t="e">
        <f>AND('Listado General'!#REF!,"AAAAAHW1+Vs=")</f>
        <v>#REF!</v>
      </c>
      <c r="CO26" t="e">
        <f>AND('Listado General'!#REF!,"AAAAAHW1+Vw=")</f>
        <v>#REF!</v>
      </c>
      <c r="CP26" t="e">
        <f>AND('Listado General'!#REF!,"AAAAAHW1+V0=")</f>
        <v>#REF!</v>
      </c>
      <c r="CQ26" t="e">
        <f>AND('Listado General'!#REF!,"AAAAAHW1+V4=")</f>
        <v>#REF!</v>
      </c>
      <c r="CR26" t="e">
        <f>IF('Listado General'!#REF!,"AAAAAHW1+V8=",0)</f>
        <v>#REF!</v>
      </c>
      <c r="CS26" t="e">
        <f>AND('Listado General'!#REF!,"AAAAAHW1+WA=")</f>
        <v>#REF!</v>
      </c>
      <c r="CT26" t="e">
        <f>AND('Listado General'!#REF!,"AAAAAHW1+WE=")</f>
        <v>#REF!</v>
      </c>
      <c r="CU26" t="e">
        <f>AND('Listado General'!#REF!,"AAAAAHW1+WI=")</f>
        <v>#REF!</v>
      </c>
      <c r="CV26" t="e">
        <f>AND('Listado General'!#REF!,"AAAAAHW1+WM=")</f>
        <v>#REF!</v>
      </c>
      <c r="CW26" t="e">
        <f>AND('Listado General'!#REF!,"AAAAAHW1+WQ=")</f>
        <v>#REF!</v>
      </c>
      <c r="CX26" t="e">
        <f>AND('Listado General'!#REF!,"AAAAAHW1+WU=")</f>
        <v>#REF!</v>
      </c>
      <c r="CY26" t="e">
        <f>AND('Listado General'!#REF!,"AAAAAHW1+WY=")</f>
        <v>#REF!</v>
      </c>
      <c r="CZ26" t="e">
        <f>AND('Listado General'!#REF!,"AAAAAHW1+Wc=")</f>
        <v>#REF!</v>
      </c>
      <c r="DA26" t="e">
        <f>AND('Listado General'!#REF!,"AAAAAHW1+Wg=")</f>
        <v>#REF!</v>
      </c>
      <c r="DB26" t="e">
        <f>IF('Listado General'!#REF!,"AAAAAHW1+Wk=",0)</f>
        <v>#REF!</v>
      </c>
      <c r="DC26" t="e">
        <f>AND('Listado General'!#REF!,"AAAAAHW1+Wo=")</f>
        <v>#REF!</v>
      </c>
      <c r="DD26" t="e">
        <f>AND('Listado General'!#REF!,"AAAAAHW1+Ws=")</f>
        <v>#REF!</v>
      </c>
      <c r="DE26" t="e">
        <f>AND('Listado General'!#REF!,"AAAAAHW1+Ww=")</f>
        <v>#REF!</v>
      </c>
      <c r="DF26" t="e">
        <f>AND('Listado General'!#REF!,"AAAAAHW1+W0=")</f>
        <v>#REF!</v>
      </c>
      <c r="DG26" t="e">
        <f>AND('Listado General'!#REF!,"AAAAAHW1+W4=")</f>
        <v>#REF!</v>
      </c>
      <c r="DH26" t="e">
        <f>AND('Listado General'!#REF!,"AAAAAHW1+W8=")</f>
        <v>#REF!</v>
      </c>
      <c r="DI26" t="e">
        <f>AND('Listado General'!#REF!,"AAAAAHW1+XA=")</f>
        <v>#REF!</v>
      </c>
      <c r="DJ26" t="e">
        <f>AND('Listado General'!#REF!,"AAAAAHW1+XE=")</f>
        <v>#REF!</v>
      </c>
      <c r="DK26" t="e">
        <f>AND('Listado General'!#REF!,"AAAAAHW1+XI=")</f>
        <v>#REF!</v>
      </c>
      <c r="DL26" t="e">
        <f>IF('Listado General'!#REF!,"AAAAAHW1+XM=",0)</f>
        <v>#REF!</v>
      </c>
      <c r="DM26" t="e">
        <f>AND('Listado General'!#REF!,"AAAAAHW1+XQ=")</f>
        <v>#REF!</v>
      </c>
      <c r="DN26" t="e">
        <f>AND('Listado General'!#REF!,"AAAAAHW1+XU=")</f>
        <v>#REF!</v>
      </c>
      <c r="DO26" t="e">
        <f>AND('Listado General'!#REF!,"AAAAAHW1+XY=")</f>
        <v>#REF!</v>
      </c>
      <c r="DP26" t="e">
        <f>AND('Listado General'!#REF!,"AAAAAHW1+Xc=")</f>
        <v>#REF!</v>
      </c>
      <c r="DQ26" t="e">
        <f>AND('Listado General'!#REF!,"AAAAAHW1+Xg=")</f>
        <v>#REF!</v>
      </c>
      <c r="DR26" t="e">
        <f>AND('Listado General'!#REF!,"AAAAAHW1+Xk=")</f>
        <v>#REF!</v>
      </c>
      <c r="DS26" t="e">
        <f>AND('Listado General'!#REF!,"AAAAAHW1+Xo=")</f>
        <v>#REF!</v>
      </c>
      <c r="DT26" t="e">
        <f>AND('Listado General'!#REF!,"AAAAAHW1+Xs=")</f>
        <v>#REF!</v>
      </c>
      <c r="DU26" t="e">
        <f>AND('Listado General'!#REF!,"AAAAAHW1+Xw=")</f>
        <v>#REF!</v>
      </c>
      <c r="DV26" t="e">
        <f>IF('Listado General'!#REF!,"AAAAAHW1+X0=",0)</f>
        <v>#REF!</v>
      </c>
      <c r="DW26" t="e">
        <f>AND('Listado General'!#REF!,"AAAAAHW1+X4=")</f>
        <v>#REF!</v>
      </c>
      <c r="DX26" t="e">
        <f>AND('Listado General'!#REF!,"AAAAAHW1+X8=")</f>
        <v>#REF!</v>
      </c>
      <c r="DY26" t="e">
        <f>AND('Listado General'!#REF!,"AAAAAHW1+YA=")</f>
        <v>#REF!</v>
      </c>
      <c r="DZ26" t="e">
        <f>AND('Listado General'!#REF!,"AAAAAHW1+YE=")</f>
        <v>#REF!</v>
      </c>
      <c r="EA26" t="e">
        <f>AND('Listado General'!#REF!,"AAAAAHW1+YI=")</f>
        <v>#REF!</v>
      </c>
      <c r="EB26" t="e">
        <f>AND('Listado General'!#REF!,"AAAAAHW1+YM=")</f>
        <v>#REF!</v>
      </c>
      <c r="EC26" t="e">
        <f>AND('Listado General'!#REF!,"AAAAAHW1+YQ=")</f>
        <v>#REF!</v>
      </c>
      <c r="ED26" t="e">
        <f>AND('Listado General'!#REF!,"AAAAAHW1+YU=")</f>
        <v>#REF!</v>
      </c>
      <c r="EE26" t="e">
        <f>AND('Listado General'!#REF!,"AAAAAHW1+YY=")</f>
        <v>#REF!</v>
      </c>
      <c r="EF26" t="e">
        <f>IF('Listado General'!#REF!,"AAAAAHW1+Yc=",0)</f>
        <v>#REF!</v>
      </c>
      <c r="EG26" t="e">
        <f>AND('Listado General'!#REF!,"AAAAAHW1+Yg=")</f>
        <v>#REF!</v>
      </c>
      <c r="EH26" t="e">
        <f>AND('Listado General'!#REF!,"AAAAAHW1+Yk=")</f>
        <v>#REF!</v>
      </c>
      <c r="EI26" t="e">
        <f>AND('Listado General'!#REF!,"AAAAAHW1+Yo=")</f>
        <v>#REF!</v>
      </c>
      <c r="EJ26" t="e">
        <f>AND('Listado General'!#REF!,"AAAAAHW1+Ys=")</f>
        <v>#REF!</v>
      </c>
      <c r="EK26" t="e">
        <f>AND('Listado General'!#REF!,"AAAAAHW1+Yw=")</f>
        <v>#REF!</v>
      </c>
      <c r="EL26" t="e">
        <f>AND('Listado General'!#REF!,"AAAAAHW1+Y0=")</f>
        <v>#REF!</v>
      </c>
      <c r="EM26" t="e">
        <f>AND('Listado General'!#REF!,"AAAAAHW1+Y4=")</f>
        <v>#REF!</v>
      </c>
      <c r="EN26" t="e">
        <f>AND('Listado General'!#REF!,"AAAAAHW1+Y8=")</f>
        <v>#REF!</v>
      </c>
      <c r="EO26" t="e">
        <f>AND('Listado General'!#REF!,"AAAAAHW1+ZA=")</f>
        <v>#REF!</v>
      </c>
      <c r="EP26" t="e">
        <f>IF('Listado General'!#REF!,"AAAAAHW1+ZE=",0)</f>
        <v>#REF!</v>
      </c>
      <c r="EQ26" t="e">
        <f>AND('Listado General'!#REF!,"AAAAAHW1+ZI=")</f>
        <v>#REF!</v>
      </c>
      <c r="ER26" t="e">
        <f>AND('Listado General'!#REF!,"AAAAAHW1+ZM=")</f>
        <v>#REF!</v>
      </c>
      <c r="ES26" t="e">
        <f>AND('Listado General'!#REF!,"AAAAAHW1+ZQ=")</f>
        <v>#REF!</v>
      </c>
      <c r="ET26" t="e">
        <f>AND('Listado General'!#REF!,"AAAAAHW1+ZU=")</f>
        <v>#REF!</v>
      </c>
      <c r="EU26" t="e">
        <f>AND('Listado General'!#REF!,"AAAAAHW1+ZY=")</f>
        <v>#REF!</v>
      </c>
      <c r="EV26" t="e">
        <f>AND('Listado General'!#REF!,"AAAAAHW1+Zc=")</f>
        <v>#REF!</v>
      </c>
      <c r="EW26" t="e">
        <f>AND('Listado General'!#REF!,"AAAAAHW1+Zg=")</f>
        <v>#REF!</v>
      </c>
      <c r="EX26" t="e">
        <f>AND('Listado General'!#REF!,"AAAAAHW1+Zk=")</f>
        <v>#REF!</v>
      </c>
      <c r="EY26" t="e">
        <f>AND('Listado General'!#REF!,"AAAAAHW1+Zo=")</f>
        <v>#REF!</v>
      </c>
      <c r="EZ26" t="e">
        <f>IF('Listado General'!#REF!,"AAAAAHW1+Zs=",0)</f>
        <v>#REF!</v>
      </c>
      <c r="FA26" t="e">
        <f>AND('Listado General'!#REF!,"AAAAAHW1+Zw=")</f>
        <v>#REF!</v>
      </c>
      <c r="FB26" t="e">
        <f>AND('Listado General'!#REF!,"AAAAAHW1+Z0=")</f>
        <v>#REF!</v>
      </c>
      <c r="FC26" t="e">
        <f>AND('Listado General'!#REF!,"AAAAAHW1+Z4=")</f>
        <v>#REF!</v>
      </c>
      <c r="FD26" t="e">
        <f>AND('Listado General'!#REF!,"AAAAAHW1+Z8=")</f>
        <v>#REF!</v>
      </c>
      <c r="FE26" t="e">
        <f>AND('Listado General'!#REF!,"AAAAAHW1+aA=")</f>
        <v>#REF!</v>
      </c>
      <c r="FF26" t="e">
        <f>AND('Listado General'!#REF!,"AAAAAHW1+aE=")</f>
        <v>#REF!</v>
      </c>
      <c r="FG26" t="e">
        <f>AND('Listado General'!#REF!,"AAAAAHW1+aI=")</f>
        <v>#REF!</v>
      </c>
      <c r="FH26" t="e">
        <f>AND('Listado General'!#REF!,"AAAAAHW1+aM=")</f>
        <v>#REF!</v>
      </c>
      <c r="FI26" t="e">
        <f>AND('Listado General'!#REF!,"AAAAAHW1+aQ=")</f>
        <v>#REF!</v>
      </c>
      <c r="FJ26" t="e">
        <f>IF('Listado General'!#REF!,"AAAAAHW1+aU=",0)</f>
        <v>#REF!</v>
      </c>
      <c r="FK26" t="e">
        <f>AND('Listado General'!#REF!,"AAAAAHW1+aY=")</f>
        <v>#REF!</v>
      </c>
      <c r="FL26" t="e">
        <f>AND('Listado General'!#REF!,"AAAAAHW1+ac=")</f>
        <v>#REF!</v>
      </c>
      <c r="FM26" t="e">
        <f>AND('Listado General'!#REF!,"AAAAAHW1+ag=")</f>
        <v>#REF!</v>
      </c>
      <c r="FN26" t="e">
        <f>AND('Listado General'!#REF!,"AAAAAHW1+ak=")</f>
        <v>#REF!</v>
      </c>
      <c r="FO26" t="e">
        <f>AND('Listado General'!#REF!,"AAAAAHW1+ao=")</f>
        <v>#REF!</v>
      </c>
      <c r="FP26" t="e">
        <f>AND('Listado General'!#REF!,"AAAAAHW1+as=")</f>
        <v>#REF!</v>
      </c>
      <c r="FQ26" t="e">
        <f>AND('Listado General'!#REF!,"AAAAAHW1+aw=")</f>
        <v>#REF!</v>
      </c>
      <c r="FR26" t="e">
        <f>AND('Listado General'!#REF!,"AAAAAHW1+a0=")</f>
        <v>#REF!</v>
      </c>
      <c r="FS26" t="e">
        <f>AND('Listado General'!#REF!,"AAAAAHW1+a4=")</f>
        <v>#REF!</v>
      </c>
      <c r="FT26" t="e">
        <f>IF('Listado General'!#REF!,"AAAAAHW1+a8=",0)</f>
        <v>#REF!</v>
      </c>
      <c r="FU26" t="e">
        <f>AND('Listado General'!#REF!,"AAAAAHW1+bA=")</f>
        <v>#REF!</v>
      </c>
      <c r="FV26" t="e">
        <f>AND('Listado General'!#REF!,"AAAAAHW1+bE=")</f>
        <v>#REF!</v>
      </c>
      <c r="FW26" t="e">
        <f>AND('Listado General'!#REF!,"AAAAAHW1+bI=")</f>
        <v>#REF!</v>
      </c>
      <c r="FX26" t="e">
        <f>AND('Listado General'!#REF!,"AAAAAHW1+bM=")</f>
        <v>#REF!</v>
      </c>
      <c r="FY26" t="e">
        <f>AND('Listado General'!#REF!,"AAAAAHW1+bQ=")</f>
        <v>#REF!</v>
      </c>
      <c r="FZ26" t="e">
        <f>AND('Listado General'!#REF!,"AAAAAHW1+bU=")</f>
        <v>#REF!</v>
      </c>
      <c r="GA26" t="e">
        <f>AND('Listado General'!#REF!,"AAAAAHW1+bY=")</f>
        <v>#REF!</v>
      </c>
      <c r="GB26" t="e">
        <f>AND('Listado General'!#REF!,"AAAAAHW1+bc=")</f>
        <v>#REF!</v>
      </c>
      <c r="GC26" t="e">
        <f>AND('Listado General'!#REF!,"AAAAAHW1+bg=")</f>
        <v>#REF!</v>
      </c>
      <c r="GD26" t="e">
        <f>IF('Listado General'!#REF!,"AAAAAHW1+bk=",0)</f>
        <v>#REF!</v>
      </c>
      <c r="GE26" t="e">
        <f>AND('Listado General'!#REF!,"AAAAAHW1+bo=")</f>
        <v>#REF!</v>
      </c>
      <c r="GF26" t="e">
        <f>AND('Listado General'!#REF!,"AAAAAHW1+bs=")</f>
        <v>#REF!</v>
      </c>
      <c r="GG26" t="e">
        <f>AND('Listado General'!#REF!,"AAAAAHW1+bw=")</f>
        <v>#REF!</v>
      </c>
      <c r="GH26" t="e">
        <f>AND('Listado General'!#REF!,"AAAAAHW1+b0=")</f>
        <v>#REF!</v>
      </c>
      <c r="GI26" t="e">
        <f>AND('Listado General'!#REF!,"AAAAAHW1+b4=")</f>
        <v>#REF!</v>
      </c>
      <c r="GJ26" t="e">
        <f>AND('Listado General'!#REF!,"AAAAAHW1+b8=")</f>
        <v>#REF!</v>
      </c>
      <c r="GK26" t="e">
        <f>AND('Listado General'!#REF!,"AAAAAHW1+cA=")</f>
        <v>#REF!</v>
      </c>
      <c r="GL26" t="e">
        <f>AND('Listado General'!#REF!,"AAAAAHW1+cE=")</f>
        <v>#REF!</v>
      </c>
      <c r="GM26" t="e">
        <f>AND('Listado General'!#REF!,"AAAAAHW1+cI=")</f>
        <v>#REF!</v>
      </c>
      <c r="GN26" t="e">
        <f>IF('Listado General'!#REF!,"AAAAAHW1+cM=",0)</f>
        <v>#REF!</v>
      </c>
      <c r="GO26" t="e">
        <f>AND('Listado General'!#REF!,"AAAAAHW1+cQ=")</f>
        <v>#REF!</v>
      </c>
      <c r="GP26" t="e">
        <f>AND('Listado General'!#REF!,"AAAAAHW1+cU=")</f>
        <v>#REF!</v>
      </c>
      <c r="GQ26" t="e">
        <f>AND('Listado General'!#REF!,"AAAAAHW1+cY=")</f>
        <v>#REF!</v>
      </c>
      <c r="GR26" t="e">
        <f>AND('Listado General'!#REF!,"AAAAAHW1+cc=")</f>
        <v>#REF!</v>
      </c>
      <c r="GS26" t="e">
        <f>AND('Listado General'!#REF!,"AAAAAHW1+cg=")</f>
        <v>#REF!</v>
      </c>
      <c r="GT26" t="e">
        <f>AND('Listado General'!#REF!,"AAAAAHW1+ck=")</f>
        <v>#REF!</v>
      </c>
      <c r="GU26" t="e">
        <f>AND('Listado General'!#REF!,"AAAAAHW1+co=")</f>
        <v>#REF!</v>
      </c>
      <c r="GV26" t="e">
        <f>AND('Listado General'!#REF!,"AAAAAHW1+cs=")</f>
        <v>#REF!</v>
      </c>
      <c r="GW26" t="e">
        <f>AND('Listado General'!#REF!,"AAAAAHW1+cw=")</f>
        <v>#REF!</v>
      </c>
      <c r="GX26" t="e">
        <f>IF('Listado General'!#REF!,"AAAAAHW1+c0=",0)</f>
        <v>#REF!</v>
      </c>
      <c r="GY26" t="e">
        <f>AND('Listado General'!#REF!,"AAAAAHW1+c4=")</f>
        <v>#REF!</v>
      </c>
      <c r="GZ26" t="e">
        <f>AND('Listado General'!#REF!,"AAAAAHW1+c8=")</f>
        <v>#REF!</v>
      </c>
      <c r="HA26" t="e">
        <f>AND('Listado General'!#REF!,"AAAAAHW1+dA=")</f>
        <v>#REF!</v>
      </c>
      <c r="HB26" t="e">
        <f>AND('Listado General'!#REF!,"AAAAAHW1+dE=")</f>
        <v>#REF!</v>
      </c>
      <c r="HC26" t="e">
        <f>AND('Listado General'!#REF!,"AAAAAHW1+dI=")</f>
        <v>#REF!</v>
      </c>
      <c r="HD26" t="e">
        <f>AND('Listado General'!#REF!,"AAAAAHW1+dM=")</f>
        <v>#REF!</v>
      </c>
      <c r="HE26" t="e">
        <f>AND('Listado General'!#REF!,"AAAAAHW1+dQ=")</f>
        <v>#REF!</v>
      </c>
      <c r="HF26" t="e">
        <f>AND('Listado General'!#REF!,"AAAAAHW1+dU=")</f>
        <v>#REF!</v>
      </c>
      <c r="HG26" t="e">
        <f>AND('Listado General'!#REF!,"AAAAAHW1+dY=")</f>
        <v>#REF!</v>
      </c>
      <c r="HH26" t="e">
        <f>IF('Listado General'!#REF!,"AAAAAHW1+dc=",0)</f>
        <v>#REF!</v>
      </c>
      <c r="HI26" t="e">
        <f>AND('Listado General'!#REF!,"AAAAAHW1+dg=")</f>
        <v>#REF!</v>
      </c>
      <c r="HJ26" t="e">
        <f>AND('Listado General'!#REF!,"AAAAAHW1+dk=")</f>
        <v>#REF!</v>
      </c>
      <c r="HK26" t="e">
        <f>AND('Listado General'!#REF!,"AAAAAHW1+do=")</f>
        <v>#REF!</v>
      </c>
      <c r="HL26" t="e">
        <f>AND('Listado General'!#REF!,"AAAAAHW1+ds=")</f>
        <v>#REF!</v>
      </c>
      <c r="HM26" t="e">
        <f>AND('Listado General'!#REF!,"AAAAAHW1+dw=")</f>
        <v>#REF!</v>
      </c>
      <c r="HN26" t="e">
        <f>AND('Listado General'!#REF!,"AAAAAHW1+d0=")</f>
        <v>#REF!</v>
      </c>
      <c r="HO26" t="e">
        <f>AND('Listado General'!#REF!,"AAAAAHW1+d4=")</f>
        <v>#REF!</v>
      </c>
      <c r="HP26" t="e">
        <f>AND('Listado General'!#REF!,"AAAAAHW1+d8=")</f>
        <v>#REF!</v>
      </c>
      <c r="HQ26" t="e">
        <f>AND('Listado General'!#REF!,"AAAAAHW1+eA=")</f>
        <v>#REF!</v>
      </c>
      <c r="HR26" t="e">
        <f>IF('Listado General'!#REF!,"AAAAAHW1+eE=",0)</f>
        <v>#REF!</v>
      </c>
      <c r="HS26" t="e">
        <f>AND('Listado General'!#REF!,"AAAAAHW1+eI=")</f>
        <v>#REF!</v>
      </c>
      <c r="HT26" t="e">
        <f>AND('Listado General'!#REF!,"AAAAAHW1+eM=")</f>
        <v>#REF!</v>
      </c>
      <c r="HU26" t="e">
        <f>AND('Listado General'!#REF!,"AAAAAHW1+eQ=")</f>
        <v>#REF!</v>
      </c>
      <c r="HV26" t="e">
        <f>AND('Listado General'!#REF!,"AAAAAHW1+eU=")</f>
        <v>#REF!</v>
      </c>
      <c r="HW26" t="e">
        <f>AND('Listado General'!#REF!,"AAAAAHW1+eY=")</f>
        <v>#REF!</v>
      </c>
      <c r="HX26" t="e">
        <f>AND('Listado General'!#REF!,"AAAAAHW1+ec=")</f>
        <v>#REF!</v>
      </c>
      <c r="HY26" t="e">
        <f>AND('Listado General'!#REF!,"AAAAAHW1+eg=")</f>
        <v>#REF!</v>
      </c>
      <c r="HZ26" t="e">
        <f>AND('Listado General'!#REF!,"AAAAAHW1+ek=")</f>
        <v>#REF!</v>
      </c>
      <c r="IA26" t="e">
        <f>AND('Listado General'!#REF!,"AAAAAHW1+eo=")</f>
        <v>#REF!</v>
      </c>
      <c r="IB26" t="e">
        <f>IF('Listado General'!#REF!,"AAAAAHW1+es=",0)</f>
        <v>#REF!</v>
      </c>
      <c r="IC26" t="e">
        <f>AND('Listado General'!#REF!,"AAAAAHW1+ew=")</f>
        <v>#REF!</v>
      </c>
      <c r="ID26" t="e">
        <f>AND('Listado General'!#REF!,"AAAAAHW1+e0=")</f>
        <v>#REF!</v>
      </c>
      <c r="IE26" t="e">
        <f>AND('Listado General'!#REF!,"AAAAAHW1+e4=")</f>
        <v>#REF!</v>
      </c>
      <c r="IF26" t="e">
        <f>AND('Listado General'!#REF!,"AAAAAHW1+e8=")</f>
        <v>#REF!</v>
      </c>
      <c r="IG26" t="e">
        <f>AND('Listado General'!#REF!,"AAAAAHW1+fA=")</f>
        <v>#REF!</v>
      </c>
      <c r="IH26" t="e">
        <f>AND('Listado General'!#REF!,"AAAAAHW1+fE=")</f>
        <v>#REF!</v>
      </c>
      <c r="II26" t="e">
        <f>AND('Listado General'!#REF!,"AAAAAHW1+fI=")</f>
        <v>#REF!</v>
      </c>
      <c r="IJ26" t="e">
        <f>AND('Listado General'!#REF!,"AAAAAHW1+fM=")</f>
        <v>#REF!</v>
      </c>
      <c r="IK26" t="e">
        <f>AND('Listado General'!#REF!,"AAAAAHW1+fQ=")</f>
        <v>#REF!</v>
      </c>
      <c r="IL26" t="e">
        <f>IF('Listado General'!#REF!,"AAAAAHW1+fU=",0)</f>
        <v>#REF!</v>
      </c>
      <c r="IM26" t="e">
        <f>AND('Listado General'!#REF!,"AAAAAHW1+fY=")</f>
        <v>#REF!</v>
      </c>
      <c r="IN26" t="e">
        <f>AND('Listado General'!#REF!,"AAAAAHW1+fc=")</f>
        <v>#REF!</v>
      </c>
      <c r="IO26" t="e">
        <f>AND('Listado General'!#REF!,"AAAAAHW1+fg=")</f>
        <v>#REF!</v>
      </c>
      <c r="IP26" t="e">
        <f>AND('Listado General'!#REF!,"AAAAAHW1+fk=")</f>
        <v>#REF!</v>
      </c>
      <c r="IQ26" t="e">
        <f>AND('Listado General'!#REF!,"AAAAAHW1+fo=")</f>
        <v>#REF!</v>
      </c>
      <c r="IR26" t="e">
        <f>AND('Listado General'!#REF!,"AAAAAHW1+fs=")</f>
        <v>#REF!</v>
      </c>
      <c r="IS26" t="e">
        <f>AND('Listado General'!#REF!,"AAAAAHW1+fw=")</f>
        <v>#REF!</v>
      </c>
      <c r="IT26" t="e">
        <f>AND('Listado General'!#REF!,"AAAAAHW1+f0=")</f>
        <v>#REF!</v>
      </c>
      <c r="IU26" t="e">
        <f>AND('Listado General'!#REF!,"AAAAAHW1+f4=")</f>
        <v>#REF!</v>
      </c>
      <c r="IV26" t="e">
        <f>IF('Listado General'!#REF!,"AAAAAHW1+f8=",0)</f>
        <v>#REF!</v>
      </c>
    </row>
    <row r="27" spans="1:256" ht="12.75">
      <c r="A27" t="e">
        <f>AND('Listado General'!#REF!,"AAAAAA79+wA=")</f>
        <v>#REF!</v>
      </c>
      <c r="B27" t="e">
        <f>AND('Listado General'!#REF!,"AAAAAA79+wE=")</f>
        <v>#REF!</v>
      </c>
      <c r="C27" t="e">
        <f>AND('Listado General'!#REF!,"AAAAAA79+wI=")</f>
        <v>#REF!</v>
      </c>
      <c r="D27" t="e">
        <f>AND('Listado General'!#REF!,"AAAAAA79+wM=")</f>
        <v>#REF!</v>
      </c>
      <c r="E27" t="e">
        <f>AND('Listado General'!#REF!,"AAAAAA79+wQ=")</f>
        <v>#REF!</v>
      </c>
      <c r="F27" t="e">
        <f>AND('Listado General'!#REF!,"AAAAAA79+wU=")</f>
        <v>#REF!</v>
      </c>
      <c r="G27" t="e">
        <f>AND('Listado General'!#REF!,"AAAAAA79+wY=")</f>
        <v>#REF!</v>
      </c>
      <c r="H27" t="e">
        <f>AND('Listado General'!#REF!,"AAAAAA79+wc=")</f>
        <v>#REF!</v>
      </c>
      <c r="I27" t="e">
        <f>AND('Listado General'!#REF!,"AAAAAA79+wg=")</f>
        <v>#REF!</v>
      </c>
      <c r="J27" t="e">
        <f>IF('Listado General'!#REF!,"AAAAAA79+wk=",0)</f>
        <v>#REF!</v>
      </c>
      <c r="K27" t="e">
        <f>AND('Listado General'!#REF!,"AAAAAA79+wo=")</f>
        <v>#REF!</v>
      </c>
      <c r="L27" t="e">
        <f>AND('Listado General'!#REF!,"AAAAAA79+ws=")</f>
        <v>#REF!</v>
      </c>
      <c r="M27" t="e">
        <f>AND('Listado General'!#REF!,"AAAAAA79+ww=")</f>
        <v>#REF!</v>
      </c>
      <c r="N27" t="e">
        <f>AND('Listado General'!#REF!,"AAAAAA79+w0=")</f>
        <v>#REF!</v>
      </c>
      <c r="O27" t="e">
        <f>AND('Listado General'!#REF!,"AAAAAA79+w4=")</f>
        <v>#REF!</v>
      </c>
      <c r="P27" t="e">
        <f>AND('Listado General'!#REF!,"AAAAAA79+w8=")</f>
        <v>#REF!</v>
      </c>
      <c r="Q27" t="e">
        <f>AND('Listado General'!#REF!,"AAAAAA79+xA=")</f>
        <v>#REF!</v>
      </c>
      <c r="R27" t="e">
        <f>AND('Listado General'!#REF!,"AAAAAA79+xE=")</f>
        <v>#REF!</v>
      </c>
      <c r="S27" t="e">
        <f>AND('Listado General'!#REF!,"AAAAAA79+xI=")</f>
        <v>#REF!</v>
      </c>
      <c r="T27" t="e">
        <f>IF('Listado General'!#REF!,"AAAAAA79+xM=",0)</f>
        <v>#REF!</v>
      </c>
      <c r="U27" t="e">
        <f>AND('Listado General'!#REF!,"AAAAAA79+xQ=")</f>
        <v>#REF!</v>
      </c>
      <c r="V27" t="e">
        <f>AND('Listado General'!#REF!,"AAAAAA79+xU=")</f>
        <v>#REF!</v>
      </c>
      <c r="W27" t="e">
        <f>AND('Listado General'!#REF!,"AAAAAA79+xY=")</f>
        <v>#REF!</v>
      </c>
      <c r="X27" t="e">
        <f>AND('Listado General'!#REF!,"AAAAAA79+xc=")</f>
        <v>#REF!</v>
      </c>
      <c r="Y27" t="e">
        <f>AND('Listado General'!#REF!,"AAAAAA79+xg=")</f>
        <v>#REF!</v>
      </c>
      <c r="Z27" t="e">
        <f>AND('Listado General'!#REF!,"AAAAAA79+xk=")</f>
        <v>#REF!</v>
      </c>
      <c r="AA27" t="e">
        <f>AND('Listado General'!#REF!,"AAAAAA79+xo=")</f>
        <v>#REF!</v>
      </c>
      <c r="AB27" t="e">
        <f>AND('Listado General'!#REF!,"AAAAAA79+xs=")</f>
        <v>#REF!</v>
      </c>
      <c r="AC27" t="e">
        <f>AND('Listado General'!#REF!,"AAAAAA79+xw=")</f>
        <v>#REF!</v>
      </c>
      <c r="AD27" t="e">
        <f>IF('Listado General'!#REF!,"AAAAAA79+x0=",0)</f>
        <v>#REF!</v>
      </c>
      <c r="AE27" t="e">
        <f>AND('Listado General'!#REF!,"AAAAAA79+x4=")</f>
        <v>#REF!</v>
      </c>
      <c r="AF27" t="e">
        <f>AND('Listado General'!#REF!,"AAAAAA79+x8=")</f>
        <v>#REF!</v>
      </c>
      <c r="AG27" t="e">
        <f>AND('Listado General'!#REF!,"AAAAAA79+yA=")</f>
        <v>#REF!</v>
      </c>
      <c r="AH27" t="e">
        <f>AND('Listado General'!#REF!,"AAAAAA79+yE=")</f>
        <v>#REF!</v>
      </c>
      <c r="AI27" t="e">
        <f>AND('Listado General'!#REF!,"AAAAAA79+yI=")</f>
        <v>#REF!</v>
      </c>
      <c r="AJ27" t="e">
        <f>AND('Listado General'!#REF!,"AAAAAA79+yM=")</f>
        <v>#REF!</v>
      </c>
      <c r="AK27" t="e">
        <f>AND('Listado General'!#REF!,"AAAAAA79+yQ=")</f>
        <v>#REF!</v>
      </c>
      <c r="AL27" t="e">
        <f>AND('Listado General'!#REF!,"AAAAAA79+yU=")</f>
        <v>#REF!</v>
      </c>
      <c r="AM27" t="e">
        <f>AND('Listado General'!#REF!,"AAAAAA79+yY=")</f>
        <v>#REF!</v>
      </c>
      <c r="AN27" t="e">
        <f>IF('Listado General'!#REF!,"AAAAAA79+yc=",0)</f>
        <v>#REF!</v>
      </c>
      <c r="AO27" t="e">
        <f>AND('Listado General'!#REF!,"AAAAAA79+yg=")</f>
        <v>#REF!</v>
      </c>
      <c r="AP27" t="e">
        <f>AND('Listado General'!#REF!,"AAAAAA79+yk=")</f>
        <v>#REF!</v>
      </c>
      <c r="AQ27" t="e">
        <f>AND('Listado General'!#REF!,"AAAAAA79+yo=")</f>
        <v>#REF!</v>
      </c>
      <c r="AR27" t="e">
        <f>AND('Listado General'!#REF!,"AAAAAA79+ys=")</f>
        <v>#REF!</v>
      </c>
      <c r="AS27" t="e">
        <f>AND('Listado General'!#REF!,"AAAAAA79+yw=")</f>
        <v>#REF!</v>
      </c>
      <c r="AT27" t="e">
        <f>AND('Listado General'!#REF!,"AAAAAA79+y0=")</f>
        <v>#REF!</v>
      </c>
      <c r="AU27" t="e">
        <f>AND('Listado General'!#REF!,"AAAAAA79+y4=")</f>
        <v>#REF!</v>
      </c>
      <c r="AV27" t="e">
        <f>AND('Listado General'!#REF!,"AAAAAA79+y8=")</f>
        <v>#REF!</v>
      </c>
      <c r="AW27" t="e">
        <f>AND('Listado General'!#REF!,"AAAAAA79+zA=")</f>
        <v>#REF!</v>
      </c>
      <c r="AX27" t="e">
        <f>IF('Listado General'!#REF!,"AAAAAA79+zE=",0)</f>
        <v>#REF!</v>
      </c>
      <c r="AY27" t="e">
        <f>AND('Listado General'!#REF!,"AAAAAA79+zI=")</f>
        <v>#REF!</v>
      </c>
      <c r="AZ27" t="e">
        <f>AND('Listado General'!#REF!,"AAAAAA79+zM=")</f>
        <v>#REF!</v>
      </c>
      <c r="BA27" t="e">
        <f>AND('Listado General'!#REF!,"AAAAAA79+zQ=")</f>
        <v>#REF!</v>
      </c>
      <c r="BB27" t="e">
        <f>AND('Listado General'!#REF!,"AAAAAA79+zU=")</f>
        <v>#REF!</v>
      </c>
      <c r="BC27" t="e">
        <f>AND('Listado General'!#REF!,"AAAAAA79+zY=")</f>
        <v>#REF!</v>
      </c>
      <c r="BD27" t="e">
        <f>AND('Listado General'!#REF!,"AAAAAA79+zc=")</f>
        <v>#REF!</v>
      </c>
      <c r="BE27" t="e">
        <f>AND('Listado General'!#REF!,"AAAAAA79+zg=")</f>
        <v>#REF!</v>
      </c>
      <c r="BF27" t="e">
        <f>AND('Listado General'!#REF!,"AAAAAA79+zk=")</f>
        <v>#REF!</v>
      </c>
      <c r="BG27" t="e">
        <f>AND('Listado General'!#REF!,"AAAAAA79+zo=")</f>
        <v>#REF!</v>
      </c>
      <c r="BH27" t="e">
        <f>IF('Listado General'!#REF!,"AAAAAA79+zs=",0)</f>
        <v>#REF!</v>
      </c>
      <c r="BI27" t="e">
        <f>AND('Listado General'!#REF!,"AAAAAA79+zw=")</f>
        <v>#REF!</v>
      </c>
      <c r="BJ27" t="e">
        <f>AND('Listado General'!#REF!,"AAAAAA79+z0=")</f>
        <v>#REF!</v>
      </c>
      <c r="BK27" t="e">
        <f>AND('Listado General'!#REF!,"AAAAAA79+z4=")</f>
        <v>#REF!</v>
      </c>
      <c r="BL27" t="e">
        <f>AND('Listado General'!#REF!,"AAAAAA79+z8=")</f>
        <v>#REF!</v>
      </c>
      <c r="BM27" t="e">
        <f>AND('Listado General'!#REF!,"AAAAAA79+0A=")</f>
        <v>#REF!</v>
      </c>
      <c r="BN27" t="e">
        <f>AND('Listado General'!#REF!,"AAAAAA79+0E=")</f>
        <v>#REF!</v>
      </c>
      <c r="BO27" t="e">
        <f>AND('Listado General'!#REF!,"AAAAAA79+0I=")</f>
        <v>#REF!</v>
      </c>
      <c r="BP27" t="e">
        <f>AND('Listado General'!#REF!,"AAAAAA79+0M=")</f>
        <v>#REF!</v>
      </c>
      <c r="BQ27" t="e">
        <f>AND('Listado General'!#REF!,"AAAAAA79+0Q=")</f>
        <v>#REF!</v>
      </c>
      <c r="BR27" t="e">
        <f>IF('Listado General'!#REF!,"AAAAAA79+0U=",0)</f>
        <v>#REF!</v>
      </c>
      <c r="BS27" t="e">
        <f>AND('Listado General'!#REF!,"AAAAAA79+0Y=")</f>
        <v>#REF!</v>
      </c>
      <c r="BT27" t="e">
        <f>AND('Listado General'!#REF!,"AAAAAA79+0c=")</f>
        <v>#REF!</v>
      </c>
      <c r="BU27" t="e">
        <f>AND('Listado General'!#REF!,"AAAAAA79+0g=")</f>
        <v>#REF!</v>
      </c>
      <c r="BV27" t="e">
        <f>AND('Listado General'!#REF!,"AAAAAA79+0k=")</f>
        <v>#REF!</v>
      </c>
      <c r="BW27" t="e">
        <f>AND('Listado General'!#REF!,"AAAAAA79+0o=")</f>
        <v>#REF!</v>
      </c>
      <c r="BX27" t="e">
        <f>AND('Listado General'!#REF!,"AAAAAA79+0s=")</f>
        <v>#REF!</v>
      </c>
      <c r="BY27" t="e">
        <f>AND('Listado General'!#REF!,"AAAAAA79+0w=")</f>
        <v>#REF!</v>
      </c>
      <c r="BZ27" t="e">
        <f>AND('Listado General'!#REF!,"AAAAAA79+00=")</f>
        <v>#REF!</v>
      </c>
      <c r="CA27" t="e">
        <f>AND('Listado General'!#REF!,"AAAAAA79+04=")</f>
        <v>#REF!</v>
      </c>
      <c r="CB27" t="e">
        <f>IF('Listado General'!#REF!,"AAAAAA79+08=",0)</f>
        <v>#REF!</v>
      </c>
      <c r="CC27" t="e">
        <f>AND('Listado General'!#REF!,"AAAAAA79+1A=")</f>
        <v>#REF!</v>
      </c>
      <c r="CD27" t="e">
        <f>AND('Listado General'!#REF!,"AAAAAA79+1E=")</f>
        <v>#REF!</v>
      </c>
      <c r="CE27" t="e">
        <f>AND('Listado General'!#REF!,"AAAAAA79+1I=")</f>
        <v>#REF!</v>
      </c>
      <c r="CF27" t="e">
        <f>AND('Listado General'!#REF!,"AAAAAA79+1M=")</f>
        <v>#REF!</v>
      </c>
      <c r="CG27" t="e">
        <f>AND('Listado General'!#REF!,"AAAAAA79+1Q=")</f>
        <v>#REF!</v>
      </c>
      <c r="CH27" t="e">
        <f>AND('Listado General'!#REF!,"AAAAAA79+1U=")</f>
        <v>#REF!</v>
      </c>
      <c r="CI27" t="e">
        <f>AND('Listado General'!#REF!,"AAAAAA79+1Y=")</f>
        <v>#REF!</v>
      </c>
      <c r="CJ27" t="e">
        <f>AND('Listado General'!#REF!,"AAAAAA79+1c=")</f>
        <v>#REF!</v>
      </c>
      <c r="CK27" t="e">
        <f>AND('Listado General'!#REF!,"AAAAAA79+1g=")</f>
        <v>#REF!</v>
      </c>
      <c r="CL27" t="e">
        <f>IF('Listado General'!#REF!,"AAAAAA79+1k=",0)</f>
        <v>#REF!</v>
      </c>
      <c r="CM27" t="e">
        <f>AND('Listado General'!#REF!,"AAAAAA79+1o=")</f>
        <v>#REF!</v>
      </c>
      <c r="CN27" t="e">
        <f>AND('Listado General'!#REF!,"AAAAAA79+1s=")</f>
        <v>#REF!</v>
      </c>
      <c r="CO27" t="e">
        <f>AND('Listado General'!#REF!,"AAAAAA79+1w=")</f>
        <v>#REF!</v>
      </c>
      <c r="CP27" t="e">
        <f>AND('Listado General'!#REF!,"AAAAAA79+10=")</f>
        <v>#REF!</v>
      </c>
      <c r="CQ27" t="e">
        <f>AND('Listado General'!#REF!,"AAAAAA79+14=")</f>
        <v>#REF!</v>
      </c>
      <c r="CR27" t="e">
        <f>AND('Listado General'!#REF!,"AAAAAA79+18=")</f>
        <v>#REF!</v>
      </c>
      <c r="CS27" t="e">
        <f>AND('Listado General'!#REF!,"AAAAAA79+2A=")</f>
        <v>#REF!</v>
      </c>
      <c r="CT27" t="e">
        <f>AND('Listado General'!#REF!,"AAAAAA79+2E=")</f>
        <v>#REF!</v>
      </c>
      <c r="CU27" t="e">
        <f>AND('Listado General'!#REF!,"AAAAAA79+2I=")</f>
        <v>#REF!</v>
      </c>
      <c r="CV27" t="e">
        <f>IF('Listado General'!#REF!,"AAAAAA79+2M=",0)</f>
        <v>#REF!</v>
      </c>
      <c r="CW27" t="e">
        <f>AND('Listado General'!#REF!,"AAAAAA79+2Q=")</f>
        <v>#REF!</v>
      </c>
      <c r="CX27" t="e">
        <f>AND('Listado General'!#REF!,"AAAAAA79+2U=")</f>
        <v>#REF!</v>
      </c>
      <c r="CY27" t="e">
        <f>AND('Listado General'!#REF!,"AAAAAA79+2Y=")</f>
        <v>#REF!</v>
      </c>
      <c r="CZ27" t="e">
        <f>AND('Listado General'!#REF!,"AAAAAA79+2c=")</f>
        <v>#REF!</v>
      </c>
      <c r="DA27" t="e">
        <f>AND('Listado General'!#REF!,"AAAAAA79+2g=")</f>
        <v>#REF!</v>
      </c>
      <c r="DB27" t="e">
        <f>AND('Listado General'!#REF!,"AAAAAA79+2k=")</f>
        <v>#REF!</v>
      </c>
      <c r="DC27" t="e">
        <f>AND('Listado General'!#REF!,"AAAAAA79+2o=")</f>
        <v>#REF!</v>
      </c>
      <c r="DD27" t="e">
        <f>AND('Listado General'!#REF!,"AAAAAA79+2s=")</f>
        <v>#REF!</v>
      </c>
      <c r="DE27" t="e">
        <f>AND('Listado General'!#REF!,"AAAAAA79+2w=")</f>
        <v>#REF!</v>
      </c>
      <c r="DF27" t="e">
        <f>IF('Listado General'!#REF!,"AAAAAA79+20=",0)</f>
        <v>#REF!</v>
      </c>
      <c r="DG27" t="e">
        <f>AND('Listado General'!#REF!,"AAAAAA79+24=")</f>
        <v>#REF!</v>
      </c>
      <c r="DH27" t="e">
        <f>AND('Listado General'!#REF!,"AAAAAA79+28=")</f>
        <v>#REF!</v>
      </c>
      <c r="DI27" t="e">
        <f>AND('Listado General'!#REF!,"AAAAAA79+3A=")</f>
        <v>#REF!</v>
      </c>
      <c r="DJ27" t="e">
        <f>AND('Listado General'!#REF!,"AAAAAA79+3E=")</f>
        <v>#REF!</v>
      </c>
      <c r="DK27" t="e">
        <f>AND('Listado General'!#REF!,"AAAAAA79+3I=")</f>
        <v>#REF!</v>
      </c>
      <c r="DL27" t="e">
        <f>AND('Listado General'!#REF!,"AAAAAA79+3M=")</f>
        <v>#REF!</v>
      </c>
      <c r="DM27" t="e">
        <f>AND('Listado General'!#REF!,"AAAAAA79+3Q=")</f>
        <v>#REF!</v>
      </c>
      <c r="DN27" t="e">
        <f>AND('Listado General'!#REF!,"AAAAAA79+3U=")</f>
        <v>#REF!</v>
      </c>
      <c r="DO27" t="e">
        <f>AND('Listado General'!#REF!,"AAAAAA79+3Y=")</f>
        <v>#REF!</v>
      </c>
      <c r="DP27" t="e">
        <f>IF('Listado General'!#REF!,"AAAAAA79+3c=",0)</f>
        <v>#REF!</v>
      </c>
      <c r="DQ27" t="e">
        <f>AND('Listado General'!#REF!,"AAAAAA79+3g=")</f>
        <v>#REF!</v>
      </c>
      <c r="DR27" t="e">
        <f>AND('Listado General'!#REF!,"AAAAAA79+3k=")</f>
        <v>#REF!</v>
      </c>
      <c r="DS27" t="e">
        <f>AND('Listado General'!#REF!,"AAAAAA79+3o=")</f>
        <v>#REF!</v>
      </c>
      <c r="DT27" t="e">
        <f>AND('Listado General'!#REF!,"AAAAAA79+3s=")</f>
        <v>#REF!</v>
      </c>
      <c r="DU27" t="e">
        <f>AND('Listado General'!#REF!,"AAAAAA79+3w=")</f>
        <v>#REF!</v>
      </c>
      <c r="DV27" t="e">
        <f>AND('Listado General'!#REF!,"AAAAAA79+30=")</f>
        <v>#REF!</v>
      </c>
      <c r="DW27" t="e">
        <f>AND('Listado General'!#REF!,"AAAAAA79+34=")</f>
        <v>#REF!</v>
      </c>
      <c r="DX27" t="e">
        <f>AND('Listado General'!#REF!,"AAAAAA79+38=")</f>
        <v>#REF!</v>
      </c>
      <c r="DY27" t="e">
        <f>AND('Listado General'!#REF!,"AAAAAA79+4A=")</f>
        <v>#REF!</v>
      </c>
      <c r="DZ27" t="e">
        <f>IF('Listado General'!#REF!,"AAAAAA79+4E=",0)</f>
        <v>#REF!</v>
      </c>
      <c r="EA27" t="e">
        <f>AND('Listado General'!#REF!,"AAAAAA79+4I=")</f>
        <v>#REF!</v>
      </c>
      <c r="EB27" t="e">
        <f>AND('Listado General'!#REF!,"AAAAAA79+4M=")</f>
        <v>#REF!</v>
      </c>
      <c r="EC27" t="e">
        <f>AND('Listado General'!#REF!,"AAAAAA79+4Q=")</f>
        <v>#REF!</v>
      </c>
      <c r="ED27" t="e">
        <f>AND('Listado General'!#REF!,"AAAAAA79+4U=")</f>
        <v>#REF!</v>
      </c>
      <c r="EE27" t="e">
        <f>AND('Listado General'!#REF!,"AAAAAA79+4Y=")</f>
        <v>#REF!</v>
      </c>
      <c r="EF27" t="e">
        <f>AND('Listado General'!#REF!,"AAAAAA79+4c=")</f>
        <v>#REF!</v>
      </c>
      <c r="EG27" t="e">
        <f>AND('Listado General'!#REF!,"AAAAAA79+4g=")</f>
        <v>#REF!</v>
      </c>
      <c r="EH27" t="e">
        <f>AND('Listado General'!#REF!,"AAAAAA79+4k=")</f>
        <v>#REF!</v>
      </c>
      <c r="EI27" t="e">
        <f>AND('Listado General'!#REF!,"AAAAAA79+4o=")</f>
        <v>#REF!</v>
      </c>
      <c r="EJ27" t="e">
        <f>IF('Listado General'!#REF!,"AAAAAA79+4s=",0)</f>
        <v>#REF!</v>
      </c>
      <c r="EK27" t="e">
        <f>AND('Listado General'!#REF!,"AAAAAA79+4w=")</f>
        <v>#REF!</v>
      </c>
      <c r="EL27" t="e">
        <f>AND('Listado General'!#REF!,"AAAAAA79+40=")</f>
        <v>#REF!</v>
      </c>
      <c r="EM27" t="e">
        <f>AND('Listado General'!#REF!,"AAAAAA79+44=")</f>
        <v>#REF!</v>
      </c>
      <c r="EN27" t="e">
        <f>AND('Listado General'!#REF!,"AAAAAA79+48=")</f>
        <v>#REF!</v>
      </c>
      <c r="EO27" t="e">
        <f>AND('Listado General'!#REF!,"AAAAAA79+5A=")</f>
        <v>#REF!</v>
      </c>
      <c r="EP27" t="e">
        <f>AND('Listado General'!#REF!,"AAAAAA79+5E=")</f>
        <v>#REF!</v>
      </c>
      <c r="EQ27" t="e">
        <f>AND('Listado General'!#REF!,"AAAAAA79+5I=")</f>
        <v>#REF!</v>
      </c>
      <c r="ER27" t="e">
        <f>AND('Listado General'!#REF!,"AAAAAA79+5M=")</f>
        <v>#REF!</v>
      </c>
      <c r="ES27" t="e">
        <f>AND('Listado General'!#REF!,"AAAAAA79+5Q=")</f>
        <v>#REF!</v>
      </c>
      <c r="ET27" t="e">
        <f>IF('Listado General'!#REF!,"AAAAAA79+5U=",0)</f>
        <v>#REF!</v>
      </c>
      <c r="EU27" t="e">
        <f>AND('Listado General'!#REF!,"AAAAAA79+5Y=")</f>
        <v>#REF!</v>
      </c>
      <c r="EV27" t="e">
        <f>AND('Listado General'!#REF!,"AAAAAA79+5c=")</f>
        <v>#REF!</v>
      </c>
      <c r="EW27" t="e">
        <f>AND('Listado General'!#REF!,"AAAAAA79+5g=")</f>
        <v>#REF!</v>
      </c>
      <c r="EX27" t="e">
        <f>AND('Listado General'!#REF!,"AAAAAA79+5k=")</f>
        <v>#REF!</v>
      </c>
      <c r="EY27" t="e">
        <f>AND('Listado General'!#REF!,"AAAAAA79+5o=")</f>
        <v>#REF!</v>
      </c>
      <c r="EZ27" t="e">
        <f>AND('Listado General'!#REF!,"AAAAAA79+5s=")</f>
        <v>#REF!</v>
      </c>
      <c r="FA27" t="e">
        <f>AND('Listado General'!#REF!,"AAAAAA79+5w=")</f>
        <v>#REF!</v>
      </c>
      <c r="FB27" t="e">
        <f>AND('Listado General'!#REF!,"AAAAAA79+50=")</f>
        <v>#REF!</v>
      </c>
      <c r="FC27" t="e">
        <f>AND('Listado General'!#REF!,"AAAAAA79+54=")</f>
        <v>#REF!</v>
      </c>
      <c r="FD27" t="e">
        <f>IF('Listado General'!#REF!,"AAAAAA79+58=",0)</f>
        <v>#REF!</v>
      </c>
      <c r="FE27" t="e">
        <f>AND('Listado General'!#REF!,"AAAAAA79+6A=")</f>
        <v>#REF!</v>
      </c>
      <c r="FF27" t="e">
        <f>AND('Listado General'!#REF!,"AAAAAA79+6E=")</f>
        <v>#REF!</v>
      </c>
      <c r="FG27" t="e">
        <f>AND('Listado General'!#REF!,"AAAAAA79+6I=")</f>
        <v>#REF!</v>
      </c>
      <c r="FH27" t="e">
        <f>AND('Listado General'!#REF!,"AAAAAA79+6M=")</f>
        <v>#REF!</v>
      </c>
      <c r="FI27" t="e">
        <f>AND('Listado General'!#REF!,"AAAAAA79+6Q=")</f>
        <v>#REF!</v>
      </c>
      <c r="FJ27" t="e">
        <f>AND('Listado General'!#REF!,"AAAAAA79+6U=")</f>
        <v>#REF!</v>
      </c>
      <c r="FK27" t="e">
        <f>AND('Listado General'!#REF!,"AAAAAA79+6Y=")</f>
        <v>#REF!</v>
      </c>
      <c r="FL27" t="e">
        <f>AND('Listado General'!#REF!,"AAAAAA79+6c=")</f>
        <v>#REF!</v>
      </c>
      <c r="FM27" t="e">
        <f>AND('Listado General'!#REF!,"AAAAAA79+6g=")</f>
        <v>#REF!</v>
      </c>
      <c r="FN27" t="e">
        <f>IF('Listado General'!#REF!,"AAAAAA79+6k=",0)</f>
        <v>#REF!</v>
      </c>
      <c r="FO27" t="e">
        <f>AND('Listado General'!#REF!,"AAAAAA79+6o=")</f>
        <v>#REF!</v>
      </c>
      <c r="FP27" t="e">
        <f>AND('Listado General'!#REF!,"AAAAAA79+6s=")</f>
        <v>#REF!</v>
      </c>
      <c r="FQ27" t="e">
        <f>AND('Listado General'!#REF!,"AAAAAA79+6w=")</f>
        <v>#REF!</v>
      </c>
      <c r="FR27" t="e">
        <f>AND('Listado General'!#REF!,"AAAAAA79+60=")</f>
        <v>#REF!</v>
      </c>
      <c r="FS27" t="e">
        <f>AND('Listado General'!#REF!,"AAAAAA79+64=")</f>
        <v>#REF!</v>
      </c>
      <c r="FT27" t="e">
        <f>AND('Listado General'!#REF!,"AAAAAA79+68=")</f>
        <v>#REF!</v>
      </c>
      <c r="FU27" t="e">
        <f>AND('Listado General'!#REF!,"AAAAAA79+7A=")</f>
        <v>#REF!</v>
      </c>
      <c r="FV27" t="e">
        <f>AND('Listado General'!#REF!,"AAAAAA79+7E=")</f>
        <v>#REF!</v>
      </c>
      <c r="FW27" t="e">
        <f>AND('Listado General'!#REF!,"AAAAAA79+7I=")</f>
        <v>#REF!</v>
      </c>
      <c r="FX27" t="e">
        <f>IF('Listado General'!#REF!,"AAAAAA79+7M=",0)</f>
        <v>#REF!</v>
      </c>
      <c r="FY27" t="e">
        <f>AND('Listado General'!#REF!,"AAAAAA79+7Q=")</f>
        <v>#REF!</v>
      </c>
      <c r="FZ27" t="e">
        <f>AND('Listado General'!#REF!,"AAAAAA79+7U=")</f>
        <v>#REF!</v>
      </c>
      <c r="GA27" t="e">
        <f>AND('Listado General'!#REF!,"AAAAAA79+7Y=")</f>
        <v>#REF!</v>
      </c>
      <c r="GB27" t="e">
        <f>AND('Listado General'!#REF!,"AAAAAA79+7c=")</f>
        <v>#REF!</v>
      </c>
      <c r="GC27" t="e">
        <f>AND('Listado General'!#REF!,"AAAAAA79+7g=")</f>
        <v>#REF!</v>
      </c>
      <c r="GD27" t="e">
        <f>AND('Listado General'!#REF!,"AAAAAA79+7k=")</f>
        <v>#REF!</v>
      </c>
      <c r="GE27" t="e">
        <f>AND('Listado General'!#REF!,"AAAAAA79+7o=")</f>
        <v>#REF!</v>
      </c>
      <c r="GF27" t="e">
        <f>AND('Listado General'!#REF!,"AAAAAA79+7s=")</f>
        <v>#REF!</v>
      </c>
      <c r="GG27" t="e">
        <f>AND('Listado General'!#REF!,"AAAAAA79+7w=")</f>
        <v>#REF!</v>
      </c>
      <c r="GH27" t="e">
        <f>IF('Listado General'!#REF!,"AAAAAA79+70=",0)</f>
        <v>#REF!</v>
      </c>
      <c r="GI27" t="e">
        <f>AND('Listado General'!#REF!,"AAAAAA79+74=")</f>
        <v>#REF!</v>
      </c>
      <c r="GJ27" t="e">
        <f>AND('Listado General'!#REF!,"AAAAAA79+78=")</f>
        <v>#REF!</v>
      </c>
      <c r="GK27" t="e">
        <f>AND('Listado General'!#REF!,"AAAAAA79+8A=")</f>
        <v>#REF!</v>
      </c>
      <c r="GL27" t="e">
        <f>AND('Listado General'!#REF!,"AAAAAA79+8E=")</f>
        <v>#REF!</v>
      </c>
      <c r="GM27" t="e">
        <f>AND('Listado General'!#REF!,"AAAAAA79+8I=")</f>
        <v>#REF!</v>
      </c>
      <c r="GN27" t="e">
        <f>AND('Listado General'!#REF!,"AAAAAA79+8M=")</f>
        <v>#REF!</v>
      </c>
      <c r="GO27" t="e">
        <f>AND('Listado General'!#REF!,"AAAAAA79+8Q=")</f>
        <v>#REF!</v>
      </c>
      <c r="GP27" t="e">
        <f>AND('Listado General'!#REF!,"AAAAAA79+8U=")</f>
        <v>#REF!</v>
      </c>
      <c r="GQ27" t="e">
        <f>AND('Listado General'!#REF!,"AAAAAA79+8Y=")</f>
        <v>#REF!</v>
      </c>
      <c r="GR27" t="e">
        <f>IF('Listado General'!#REF!,"AAAAAA79+8c=",0)</f>
        <v>#REF!</v>
      </c>
      <c r="GS27" t="e">
        <f>AND('Listado General'!#REF!,"AAAAAA79+8g=")</f>
        <v>#REF!</v>
      </c>
      <c r="GT27" t="e">
        <f>AND('Listado General'!#REF!,"AAAAAA79+8k=")</f>
        <v>#REF!</v>
      </c>
      <c r="GU27" t="e">
        <f>AND('Listado General'!#REF!,"AAAAAA79+8o=")</f>
        <v>#REF!</v>
      </c>
      <c r="GV27" t="e">
        <f>AND('Listado General'!#REF!,"AAAAAA79+8s=")</f>
        <v>#REF!</v>
      </c>
      <c r="GW27" t="e">
        <f>AND('Listado General'!#REF!,"AAAAAA79+8w=")</f>
        <v>#REF!</v>
      </c>
      <c r="GX27" t="e">
        <f>AND('Listado General'!#REF!,"AAAAAA79+80=")</f>
        <v>#REF!</v>
      </c>
      <c r="GY27" t="e">
        <f>AND('Listado General'!#REF!,"AAAAAA79+84=")</f>
        <v>#REF!</v>
      </c>
      <c r="GZ27" t="e">
        <f>AND('Listado General'!#REF!,"AAAAAA79+88=")</f>
        <v>#REF!</v>
      </c>
      <c r="HA27" t="e">
        <f>AND('Listado General'!#REF!,"AAAAAA79+9A=")</f>
        <v>#REF!</v>
      </c>
      <c r="HB27" t="e">
        <f>IF('Listado General'!#REF!,"AAAAAA79+9E=",0)</f>
        <v>#REF!</v>
      </c>
      <c r="HC27" t="e">
        <f>AND('Listado General'!#REF!,"AAAAAA79+9I=")</f>
        <v>#REF!</v>
      </c>
      <c r="HD27" t="e">
        <f>AND('Listado General'!#REF!,"AAAAAA79+9M=")</f>
        <v>#REF!</v>
      </c>
      <c r="HE27" t="e">
        <f>AND('Listado General'!#REF!,"AAAAAA79+9Q=")</f>
        <v>#REF!</v>
      </c>
      <c r="HF27" t="e">
        <f>AND('Listado General'!#REF!,"AAAAAA79+9U=")</f>
        <v>#REF!</v>
      </c>
      <c r="HG27" t="e">
        <f>AND('Listado General'!#REF!,"AAAAAA79+9Y=")</f>
        <v>#REF!</v>
      </c>
      <c r="HH27" t="e">
        <f>AND('Listado General'!#REF!,"AAAAAA79+9c=")</f>
        <v>#REF!</v>
      </c>
      <c r="HI27" t="e">
        <f>AND('Listado General'!#REF!,"AAAAAA79+9g=")</f>
        <v>#REF!</v>
      </c>
      <c r="HJ27" t="e">
        <f>AND('Listado General'!#REF!,"AAAAAA79+9k=")</f>
        <v>#REF!</v>
      </c>
      <c r="HK27" t="e">
        <f>AND('Listado General'!#REF!,"AAAAAA79+9o=")</f>
        <v>#REF!</v>
      </c>
      <c r="HL27" t="e">
        <f>IF('Listado General'!#REF!,"AAAAAA79+9s=",0)</f>
        <v>#REF!</v>
      </c>
      <c r="HM27" t="e">
        <f>AND('Listado General'!#REF!,"AAAAAA79+9w=")</f>
        <v>#REF!</v>
      </c>
      <c r="HN27" t="e">
        <f>AND('Listado General'!#REF!,"AAAAAA79+90=")</f>
        <v>#REF!</v>
      </c>
      <c r="HO27" t="e">
        <f>AND('Listado General'!#REF!,"AAAAAA79+94=")</f>
        <v>#REF!</v>
      </c>
      <c r="HP27" t="e">
        <f>AND('Listado General'!#REF!,"AAAAAA79+98=")</f>
        <v>#REF!</v>
      </c>
      <c r="HQ27" t="e">
        <f>AND('Listado General'!#REF!,"AAAAAA79++A=")</f>
        <v>#REF!</v>
      </c>
      <c r="HR27" t="e">
        <f>AND('Listado General'!#REF!,"AAAAAA79++E=")</f>
        <v>#REF!</v>
      </c>
      <c r="HS27" t="e">
        <f>AND('Listado General'!#REF!,"AAAAAA79++I=")</f>
        <v>#REF!</v>
      </c>
      <c r="HT27" t="e">
        <f>AND('Listado General'!#REF!,"AAAAAA79++M=")</f>
        <v>#REF!</v>
      </c>
      <c r="HU27" t="e">
        <f>AND('Listado General'!#REF!,"AAAAAA79++Q=")</f>
        <v>#REF!</v>
      </c>
      <c r="HV27" t="e">
        <f>IF('Listado General'!#REF!,"AAAAAA79++U=",0)</f>
        <v>#REF!</v>
      </c>
      <c r="HW27" t="e">
        <f>AND('Listado General'!#REF!,"AAAAAA79++Y=")</f>
        <v>#REF!</v>
      </c>
      <c r="HX27" t="e">
        <f>AND('Listado General'!#REF!,"AAAAAA79++c=")</f>
        <v>#REF!</v>
      </c>
      <c r="HY27" t="e">
        <f>AND('Listado General'!#REF!,"AAAAAA79++g=")</f>
        <v>#REF!</v>
      </c>
      <c r="HZ27" t="e">
        <f>AND('Listado General'!#REF!,"AAAAAA79++k=")</f>
        <v>#REF!</v>
      </c>
      <c r="IA27" t="e">
        <f>AND('Listado General'!#REF!,"AAAAAA79++o=")</f>
        <v>#REF!</v>
      </c>
      <c r="IB27" t="e">
        <f>AND('Listado General'!#REF!,"AAAAAA79++s=")</f>
        <v>#REF!</v>
      </c>
      <c r="IC27" t="e">
        <f>AND('Listado General'!#REF!,"AAAAAA79++w=")</f>
        <v>#REF!</v>
      </c>
      <c r="ID27" t="e">
        <f>AND('Listado General'!#REF!,"AAAAAA79++0=")</f>
        <v>#REF!</v>
      </c>
      <c r="IE27" t="e">
        <f>AND('Listado General'!#REF!,"AAAAAA79++4=")</f>
        <v>#REF!</v>
      </c>
      <c r="IF27" t="e">
        <f>IF('Listado General'!#REF!,"AAAAAA79++8=",0)</f>
        <v>#REF!</v>
      </c>
      <c r="IG27" t="e">
        <f>AND('Listado General'!#REF!,"AAAAAA79+/A=")</f>
        <v>#REF!</v>
      </c>
      <c r="IH27" t="e">
        <f>AND('Listado General'!#REF!,"AAAAAA79+/E=")</f>
        <v>#REF!</v>
      </c>
      <c r="II27" t="e">
        <f>AND('Listado General'!#REF!,"AAAAAA79+/I=")</f>
        <v>#REF!</v>
      </c>
      <c r="IJ27" t="e">
        <f>AND('Listado General'!#REF!,"AAAAAA79+/M=")</f>
        <v>#REF!</v>
      </c>
      <c r="IK27" t="e">
        <f>AND('Listado General'!#REF!,"AAAAAA79+/Q=")</f>
        <v>#REF!</v>
      </c>
      <c r="IL27" t="e">
        <f>AND('Listado General'!#REF!,"AAAAAA79+/U=")</f>
        <v>#REF!</v>
      </c>
      <c r="IM27" t="e">
        <f>AND('Listado General'!#REF!,"AAAAAA79+/Y=")</f>
        <v>#REF!</v>
      </c>
      <c r="IN27" t="e">
        <f>AND('Listado General'!#REF!,"AAAAAA79+/c=")</f>
        <v>#REF!</v>
      </c>
      <c r="IO27" t="e">
        <f>AND('Listado General'!#REF!,"AAAAAA79+/g=")</f>
        <v>#REF!</v>
      </c>
      <c r="IP27" t="e">
        <f>IF('Listado General'!#REF!,"AAAAAA79+/k=",0)</f>
        <v>#REF!</v>
      </c>
      <c r="IQ27" t="e">
        <f>AND('Listado General'!#REF!,"AAAAAA79+/o=")</f>
        <v>#REF!</v>
      </c>
      <c r="IR27" t="e">
        <f>AND('Listado General'!#REF!,"AAAAAA79+/s=")</f>
        <v>#REF!</v>
      </c>
      <c r="IS27" t="e">
        <f>AND('Listado General'!#REF!,"AAAAAA79+/w=")</f>
        <v>#REF!</v>
      </c>
      <c r="IT27" t="e">
        <f>AND('Listado General'!#REF!,"AAAAAA79+/0=")</f>
        <v>#REF!</v>
      </c>
      <c r="IU27" t="e">
        <f>AND('Listado General'!#REF!,"AAAAAA79+/4=")</f>
        <v>#REF!</v>
      </c>
      <c r="IV27" t="e">
        <f>AND('Listado General'!#REF!,"AAAAAA79+/8=")</f>
        <v>#REF!</v>
      </c>
    </row>
    <row r="28" spans="1:256" ht="12.75">
      <c r="A28" t="e">
        <f>AND('Listado General'!#REF!,"AAAAADfr+wA=")</f>
        <v>#REF!</v>
      </c>
      <c r="B28" t="e">
        <f>AND('Listado General'!#REF!,"AAAAADfr+wE=")</f>
        <v>#REF!</v>
      </c>
      <c r="C28" t="e">
        <f>AND('Listado General'!#REF!,"AAAAADfr+wI=")</f>
        <v>#REF!</v>
      </c>
      <c r="D28" t="e">
        <f>IF('Listado General'!#REF!,"AAAAADfr+wM=",0)</f>
        <v>#REF!</v>
      </c>
      <c r="E28" t="e">
        <f>AND('Listado General'!#REF!,"AAAAADfr+wQ=")</f>
        <v>#REF!</v>
      </c>
      <c r="F28" t="e">
        <f>AND('Listado General'!#REF!,"AAAAADfr+wU=")</f>
        <v>#REF!</v>
      </c>
      <c r="G28" t="e">
        <f>AND('Listado General'!#REF!,"AAAAADfr+wY=")</f>
        <v>#REF!</v>
      </c>
      <c r="H28" t="e">
        <f>AND('Listado General'!#REF!,"AAAAADfr+wc=")</f>
        <v>#REF!</v>
      </c>
      <c r="I28" t="e">
        <f>AND('Listado General'!#REF!,"AAAAADfr+wg=")</f>
        <v>#REF!</v>
      </c>
      <c r="J28" t="e">
        <f>AND('Listado General'!#REF!,"AAAAADfr+wk=")</f>
        <v>#REF!</v>
      </c>
      <c r="K28" t="e">
        <f>AND('Listado General'!#REF!,"AAAAADfr+wo=")</f>
        <v>#REF!</v>
      </c>
      <c r="L28" t="e">
        <f>AND('Listado General'!#REF!,"AAAAADfr+ws=")</f>
        <v>#REF!</v>
      </c>
      <c r="M28" t="e">
        <f>AND('Listado General'!#REF!,"AAAAADfr+ww=")</f>
        <v>#REF!</v>
      </c>
      <c r="N28" t="e">
        <f>IF('Listado General'!#REF!,"AAAAADfr+w0=",0)</f>
        <v>#REF!</v>
      </c>
      <c r="O28" t="e">
        <f>AND('Listado General'!#REF!,"AAAAADfr+w4=")</f>
        <v>#REF!</v>
      </c>
      <c r="P28" t="e">
        <f>AND('Listado General'!#REF!,"AAAAADfr+w8=")</f>
        <v>#REF!</v>
      </c>
      <c r="Q28" t="e">
        <f>AND('Listado General'!#REF!,"AAAAADfr+xA=")</f>
        <v>#REF!</v>
      </c>
      <c r="R28" t="e">
        <f>AND('Listado General'!#REF!,"AAAAADfr+xE=")</f>
        <v>#REF!</v>
      </c>
      <c r="S28" t="e">
        <f>AND('Listado General'!#REF!,"AAAAADfr+xI=")</f>
        <v>#REF!</v>
      </c>
      <c r="T28" t="e">
        <f>AND('Listado General'!#REF!,"AAAAADfr+xM=")</f>
        <v>#REF!</v>
      </c>
      <c r="U28" t="e">
        <f>AND('Listado General'!#REF!,"AAAAADfr+xQ=")</f>
        <v>#REF!</v>
      </c>
      <c r="V28" t="e">
        <f>AND('Listado General'!#REF!,"AAAAADfr+xU=")</f>
        <v>#REF!</v>
      </c>
      <c r="W28" t="e">
        <f>AND('Listado General'!#REF!,"AAAAADfr+xY=")</f>
        <v>#REF!</v>
      </c>
      <c r="X28" t="e">
        <f>IF('Listado General'!#REF!,"AAAAADfr+xc=",0)</f>
        <v>#REF!</v>
      </c>
      <c r="Y28" t="e">
        <f>AND('Listado General'!#REF!,"AAAAADfr+xg=")</f>
        <v>#REF!</v>
      </c>
      <c r="Z28" t="e">
        <f>AND('Listado General'!#REF!,"AAAAADfr+xk=")</f>
        <v>#REF!</v>
      </c>
      <c r="AA28" t="e">
        <f>AND('Listado General'!#REF!,"AAAAADfr+xo=")</f>
        <v>#REF!</v>
      </c>
      <c r="AB28" t="e">
        <f>AND('Listado General'!#REF!,"AAAAADfr+xs=")</f>
        <v>#REF!</v>
      </c>
      <c r="AC28" t="e">
        <f>AND('Listado General'!#REF!,"AAAAADfr+xw=")</f>
        <v>#REF!</v>
      </c>
      <c r="AD28" t="e">
        <f>AND('Listado General'!#REF!,"AAAAADfr+x0=")</f>
        <v>#REF!</v>
      </c>
      <c r="AE28" t="e">
        <f>AND('Listado General'!#REF!,"AAAAADfr+x4=")</f>
        <v>#REF!</v>
      </c>
      <c r="AF28" t="e">
        <f>AND('Listado General'!#REF!,"AAAAADfr+x8=")</f>
        <v>#REF!</v>
      </c>
      <c r="AG28" t="e">
        <f>AND('Listado General'!#REF!,"AAAAADfr+yA=")</f>
        <v>#REF!</v>
      </c>
      <c r="AH28" t="e">
        <f>IF('Listado General'!#REF!,"AAAAADfr+yE=",0)</f>
        <v>#REF!</v>
      </c>
      <c r="AI28" t="e">
        <f>AND('Listado General'!#REF!,"AAAAADfr+yI=")</f>
        <v>#REF!</v>
      </c>
      <c r="AJ28" t="e">
        <f>AND('Listado General'!#REF!,"AAAAADfr+yM=")</f>
        <v>#REF!</v>
      </c>
      <c r="AK28" t="e">
        <f>AND('Listado General'!#REF!,"AAAAADfr+yQ=")</f>
        <v>#REF!</v>
      </c>
      <c r="AL28" t="e">
        <f>AND('Listado General'!#REF!,"AAAAADfr+yU=")</f>
        <v>#REF!</v>
      </c>
      <c r="AM28" t="e">
        <f>AND('Listado General'!#REF!,"AAAAADfr+yY=")</f>
        <v>#REF!</v>
      </c>
      <c r="AN28" t="e">
        <f>AND('Listado General'!#REF!,"AAAAADfr+yc=")</f>
        <v>#REF!</v>
      </c>
      <c r="AO28" t="e">
        <f>AND('Listado General'!#REF!,"AAAAADfr+yg=")</f>
        <v>#REF!</v>
      </c>
      <c r="AP28" t="e">
        <f>AND('Listado General'!#REF!,"AAAAADfr+yk=")</f>
        <v>#REF!</v>
      </c>
      <c r="AQ28" t="e">
        <f>AND('Listado General'!#REF!,"AAAAADfr+yo=")</f>
        <v>#REF!</v>
      </c>
      <c r="AR28" t="e">
        <f>IF('Listado General'!#REF!,"AAAAADfr+ys=",0)</f>
        <v>#REF!</v>
      </c>
      <c r="AS28" t="e">
        <f>AND('Listado General'!#REF!,"AAAAADfr+yw=")</f>
        <v>#REF!</v>
      </c>
      <c r="AT28" t="e">
        <f>AND('Listado General'!#REF!,"AAAAADfr+y0=")</f>
        <v>#REF!</v>
      </c>
      <c r="AU28" t="e">
        <f>AND('Listado General'!#REF!,"AAAAADfr+y4=")</f>
        <v>#REF!</v>
      </c>
      <c r="AV28" t="e">
        <f>AND('Listado General'!#REF!,"AAAAADfr+y8=")</f>
        <v>#REF!</v>
      </c>
      <c r="AW28" t="e">
        <f>AND('Listado General'!#REF!,"AAAAADfr+zA=")</f>
        <v>#REF!</v>
      </c>
      <c r="AX28" t="e">
        <f>AND('Listado General'!#REF!,"AAAAADfr+zE=")</f>
        <v>#REF!</v>
      </c>
      <c r="AY28" t="e">
        <f>AND('Listado General'!#REF!,"AAAAADfr+zI=")</f>
        <v>#REF!</v>
      </c>
      <c r="AZ28" t="e">
        <f>AND('Listado General'!#REF!,"AAAAADfr+zM=")</f>
        <v>#REF!</v>
      </c>
      <c r="BA28" t="e">
        <f>AND('Listado General'!#REF!,"AAAAADfr+zQ=")</f>
        <v>#REF!</v>
      </c>
      <c r="BB28" t="e">
        <f>IF('Listado General'!#REF!,"AAAAADfr+zU=",0)</f>
        <v>#REF!</v>
      </c>
      <c r="BC28" t="e">
        <f>AND('Listado General'!#REF!,"AAAAADfr+zY=")</f>
        <v>#REF!</v>
      </c>
      <c r="BD28" t="e">
        <f>AND('Listado General'!#REF!,"AAAAADfr+zc=")</f>
        <v>#REF!</v>
      </c>
      <c r="BE28" t="e">
        <f>AND('Listado General'!#REF!,"AAAAADfr+zg=")</f>
        <v>#REF!</v>
      </c>
      <c r="BF28" t="e">
        <f>AND('Listado General'!#REF!,"AAAAADfr+zk=")</f>
        <v>#REF!</v>
      </c>
      <c r="BG28" t="e">
        <f>AND('Listado General'!#REF!,"AAAAADfr+zo=")</f>
        <v>#REF!</v>
      </c>
      <c r="BH28" t="e">
        <f>AND('Listado General'!#REF!,"AAAAADfr+zs=")</f>
        <v>#REF!</v>
      </c>
      <c r="BI28" t="e">
        <f>AND('Listado General'!#REF!,"AAAAADfr+zw=")</f>
        <v>#REF!</v>
      </c>
      <c r="BJ28" t="e">
        <f>AND('Listado General'!#REF!,"AAAAADfr+z0=")</f>
        <v>#REF!</v>
      </c>
      <c r="BK28" t="e">
        <f>AND('Listado General'!#REF!,"AAAAADfr+z4=")</f>
        <v>#REF!</v>
      </c>
      <c r="BL28" t="e">
        <f>IF('Listado General'!#REF!,"AAAAADfr+z8=",0)</f>
        <v>#REF!</v>
      </c>
      <c r="BM28" t="e">
        <f>AND('Listado General'!#REF!,"AAAAADfr+0A=")</f>
        <v>#REF!</v>
      </c>
      <c r="BN28" t="e">
        <f>AND('Listado General'!#REF!,"AAAAADfr+0E=")</f>
        <v>#REF!</v>
      </c>
      <c r="BO28" t="e">
        <f>AND('Listado General'!#REF!,"AAAAADfr+0I=")</f>
        <v>#REF!</v>
      </c>
      <c r="BP28" t="e">
        <f>AND('Listado General'!#REF!,"AAAAADfr+0M=")</f>
        <v>#REF!</v>
      </c>
      <c r="BQ28" t="e">
        <f>AND('Listado General'!#REF!,"AAAAADfr+0Q=")</f>
        <v>#REF!</v>
      </c>
      <c r="BR28" t="e">
        <f>AND('Listado General'!#REF!,"AAAAADfr+0U=")</f>
        <v>#REF!</v>
      </c>
      <c r="BS28" t="e">
        <f>AND('Listado General'!#REF!,"AAAAADfr+0Y=")</f>
        <v>#REF!</v>
      </c>
      <c r="BT28" t="e">
        <f>AND('Listado General'!#REF!,"AAAAADfr+0c=")</f>
        <v>#REF!</v>
      </c>
      <c r="BU28" t="e">
        <f>AND('Listado General'!#REF!,"AAAAADfr+0g=")</f>
        <v>#REF!</v>
      </c>
      <c r="BV28" t="e">
        <f>IF('Listado General'!#REF!,"AAAAADfr+0k=",0)</f>
        <v>#REF!</v>
      </c>
      <c r="BW28" t="e">
        <f>AND('Listado General'!#REF!,"AAAAADfr+0o=")</f>
        <v>#REF!</v>
      </c>
      <c r="BX28" t="e">
        <f>AND('Listado General'!#REF!,"AAAAADfr+0s=")</f>
        <v>#REF!</v>
      </c>
      <c r="BY28" t="e">
        <f>AND('Listado General'!#REF!,"AAAAADfr+0w=")</f>
        <v>#REF!</v>
      </c>
      <c r="BZ28" t="e">
        <f>AND('Listado General'!#REF!,"AAAAADfr+00=")</f>
        <v>#REF!</v>
      </c>
      <c r="CA28" t="e">
        <f>AND('Listado General'!#REF!,"AAAAADfr+04=")</f>
        <v>#REF!</v>
      </c>
      <c r="CB28" t="e">
        <f>AND('Listado General'!#REF!,"AAAAADfr+08=")</f>
        <v>#REF!</v>
      </c>
      <c r="CC28" t="e">
        <f>AND('Listado General'!#REF!,"AAAAADfr+1A=")</f>
        <v>#REF!</v>
      </c>
      <c r="CD28" t="e">
        <f>AND('Listado General'!#REF!,"AAAAADfr+1E=")</f>
        <v>#REF!</v>
      </c>
      <c r="CE28" t="e">
        <f>AND('Listado General'!#REF!,"AAAAADfr+1I=")</f>
        <v>#REF!</v>
      </c>
      <c r="CF28" t="e">
        <f>IF('Listado General'!#REF!,"AAAAADfr+1M=",0)</f>
        <v>#REF!</v>
      </c>
      <c r="CG28" t="e">
        <f>AND('Listado General'!#REF!,"AAAAADfr+1Q=")</f>
        <v>#REF!</v>
      </c>
      <c r="CH28" t="e">
        <f>AND('Listado General'!#REF!,"AAAAADfr+1U=")</f>
        <v>#REF!</v>
      </c>
      <c r="CI28" t="e">
        <f>AND('Listado General'!#REF!,"AAAAADfr+1Y=")</f>
        <v>#REF!</v>
      </c>
      <c r="CJ28" t="e">
        <f>AND('Listado General'!#REF!,"AAAAADfr+1c=")</f>
        <v>#REF!</v>
      </c>
      <c r="CK28" t="e">
        <f>AND('Listado General'!#REF!,"AAAAADfr+1g=")</f>
        <v>#REF!</v>
      </c>
      <c r="CL28" t="e">
        <f>AND('Listado General'!#REF!,"AAAAADfr+1k=")</f>
        <v>#REF!</v>
      </c>
      <c r="CM28" t="e">
        <f>AND('Listado General'!#REF!,"AAAAADfr+1o=")</f>
        <v>#REF!</v>
      </c>
      <c r="CN28" t="e">
        <f>AND('Listado General'!#REF!,"AAAAADfr+1s=")</f>
        <v>#REF!</v>
      </c>
      <c r="CO28" t="e">
        <f>AND('Listado General'!#REF!,"AAAAADfr+1w=")</f>
        <v>#REF!</v>
      </c>
      <c r="CP28" t="e">
        <f>IF('Listado General'!#REF!,"AAAAADfr+10=",0)</f>
        <v>#REF!</v>
      </c>
      <c r="CQ28" t="e">
        <f>AND('Listado General'!#REF!,"AAAAADfr+14=")</f>
        <v>#REF!</v>
      </c>
      <c r="CR28" t="e">
        <f>AND('Listado General'!#REF!,"AAAAADfr+18=")</f>
        <v>#REF!</v>
      </c>
      <c r="CS28" t="e">
        <f>AND('Listado General'!#REF!,"AAAAADfr+2A=")</f>
        <v>#REF!</v>
      </c>
      <c r="CT28" t="e">
        <f>AND('Listado General'!#REF!,"AAAAADfr+2E=")</f>
        <v>#REF!</v>
      </c>
      <c r="CU28" t="e">
        <f>AND('Listado General'!#REF!,"AAAAADfr+2I=")</f>
        <v>#REF!</v>
      </c>
      <c r="CV28" t="e">
        <f>AND('Listado General'!#REF!,"AAAAADfr+2M=")</f>
        <v>#REF!</v>
      </c>
      <c r="CW28" t="e">
        <f>AND('Listado General'!#REF!,"AAAAADfr+2Q=")</f>
        <v>#REF!</v>
      </c>
      <c r="CX28" t="e">
        <f>AND('Listado General'!#REF!,"AAAAADfr+2U=")</f>
        <v>#REF!</v>
      </c>
      <c r="CY28" t="e">
        <f>AND('Listado General'!#REF!,"AAAAADfr+2Y=")</f>
        <v>#REF!</v>
      </c>
      <c r="CZ28" t="e">
        <f>IF('Listado General'!#REF!,"AAAAADfr+2c=",0)</f>
        <v>#REF!</v>
      </c>
      <c r="DA28" t="e">
        <f>AND('Listado General'!#REF!,"AAAAADfr+2g=")</f>
        <v>#REF!</v>
      </c>
      <c r="DB28" t="e">
        <f>AND('Listado General'!#REF!,"AAAAADfr+2k=")</f>
        <v>#REF!</v>
      </c>
      <c r="DC28" t="e">
        <f>AND('Listado General'!#REF!,"AAAAADfr+2o=")</f>
        <v>#REF!</v>
      </c>
      <c r="DD28" t="e">
        <f>AND('Listado General'!#REF!,"AAAAADfr+2s=")</f>
        <v>#REF!</v>
      </c>
      <c r="DE28" t="e">
        <f>AND('Listado General'!#REF!,"AAAAADfr+2w=")</f>
        <v>#REF!</v>
      </c>
      <c r="DF28" t="e">
        <f>AND('Listado General'!#REF!,"AAAAADfr+20=")</f>
        <v>#REF!</v>
      </c>
      <c r="DG28" t="e">
        <f>AND('Listado General'!#REF!,"AAAAADfr+24=")</f>
        <v>#REF!</v>
      </c>
      <c r="DH28" t="e">
        <f>AND('Listado General'!#REF!,"AAAAADfr+28=")</f>
        <v>#REF!</v>
      </c>
      <c r="DI28" t="e">
        <f>AND('Listado General'!#REF!,"AAAAADfr+3A=")</f>
        <v>#REF!</v>
      </c>
      <c r="DJ28" t="e">
        <f>IF('Listado General'!#REF!,"AAAAADfr+3E=",0)</f>
        <v>#REF!</v>
      </c>
      <c r="DK28" t="e">
        <f>AND('Listado General'!#REF!,"AAAAADfr+3I=")</f>
        <v>#REF!</v>
      </c>
      <c r="DL28" t="e">
        <f>AND('Listado General'!#REF!,"AAAAADfr+3M=")</f>
        <v>#REF!</v>
      </c>
      <c r="DM28" t="e">
        <f>AND('Listado General'!#REF!,"AAAAADfr+3Q=")</f>
        <v>#REF!</v>
      </c>
      <c r="DN28" t="e">
        <f>AND('Listado General'!#REF!,"AAAAADfr+3U=")</f>
        <v>#REF!</v>
      </c>
      <c r="DO28" t="e">
        <f>AND('Listado General'!#REF!,"AAAAADfr+3Y=")</f>
        <v>#REF!</v>
      </c>
      <c r="DP28" t="e">
        <f>AND('Listado General'!#REF!,"AAAAADfr+3c=")</f>
        <v>#REF!</v>
      </c>
      <c r="DQ28" t="e">
        <f>AND('Listado General'!#REF!,"AAAAADfr+3g=")</f>
        <v>#REF!</v>
      </c>
      <c r="DR28" t="e">
        <f>AND('Listado General'!#REF!,"AAAAADfr+3k=")</f>
        <v>#REF!</v>
      </c>
      <c r="DS28" t="e">
        <f>AND('Listado General'!#REF!,"AAAAADfr+3o=")</f>
        <v>#REF!</v>
      </c>
      <c r="DT28" t="e">
        <f>IF('Listado General'!#REF!,"AAAAADfr+3s=",0)</f>
        <v>#REF!</v>
      </c>
      <c r="DU28" t="e">
        <f>AND('Listado General'!#REF!,"AAAAADfr+3w=")</f>
        <v>#REF!</v>
      </c>
      <c r="DV28" t="e">
        <f>AND('Listado General'!#REF!,"AAAAADfr+30=")</f>
        <v>#REF!</v>
      </c>
      <c r="DW28" t="e">
        <f>AND('Listado General'!#REF!,"AAAAADfr+34=")</f>
        <v>#REF!</v>
      </c>
      <c r="DX28" t="e">
        <f>AND('Listado General'!#REF!,"AAAAADfr+38=")</f>
        <v>#REF!</v>
      </c>
      <c r="DY28" t="e">
        <f>AND('Listado General'!#REF!,"AAAAADfr+4A=")</f>
        <v>#REF!</v>
      </c>
      <c r="DZ28" t="e">
        <f>AND('Listado General'!#REF!,"AAAAADfr+4E=")</f>
        <v>#REF!</v>
      </c>
      <c r="EA28" t="e">
        <f>AND('Listado General'!#REF!,"AAAAADfr+4I=")</f>
        <v>#REF!</v>
      </c>
      <c r="EB28" t="e">
        <f>AND('Listado General'!#REF!,"AAAAADfr+4M=")</f>
        <v>#REF!</v>
      </c>
      <c r="EC28" t="e">
        <f>AND('Listado General'!#REF!,"AAAAADfr+4Q=")</f>
        <v>#REF!</v>
      </c>
      <c r="ED28" t="e">
        <f>IF('Listado General'!#REF!,"AAAAADfr+4U=",0)</f>
        <v>#REF!</v>
      </c>
      <c r="EE28" t="e">
        <f>AND('Listado General'!#REF!,"AAAAADfr+4Y=")</f>
        <v>#REF!</v>
      </c>
      <c r="EF28" t="e">
        <f>AND('Listado General'!#REF!,"AAAAADfr+4c=")</f>
        <v>#REF!</v>
      </c>
      <c r="EG28" t="e">
        <f>AND('Listado General'!#REF!,"AAAAADfr+4g=")</f>
        <v>#REF!</v>
      </c>
      <c r="EH28" t="e">
        <f>AND('Listado General'!#REF!,"AAAAADfr+4k=")</f>
        <v>#REF!</v>
      </c>
      <c r="EI28" t="e">
        <f>AND('Listado General'!#REF!,"AAAAADfr+4o=")</f>
        <v>#REF!</v>
      </c>
      <c r="EJ28" t="e">
        <f>AND('Listado General'!#REF!,"AAAAADfr+4s=")</f>
        <v>#REF!</v>
      </c>
      <c r="EK28" t="e">
        <f>AND('Listado General'!#REF!,"AAAAADfr+4w=")</f>
        <v>#REF!</v>
      </c>
      <c r="EL28" t="e">
        <f>AND('Listado General'!#REF!,"AAAAADfr+40=")</f>
        <v>#REF!</v>
      </c>
      <c r="EM28" t="e">
        <f>AND('Listado General'!#REF!,"AAAAADfr+44=")</f>
        <v>#REF!</v>
      </c>
      <c r="EN28" t="e">
        <f>IF('Listado General'!#REF!,"AAAAADfr+48=",0)</f>
        <v>#REF!</v>
      </c>
      <c r="EO28" t="e">
        <f>AND('Listado General'!#REF!,"AAAAADfr+5A=")</f>
        <v>#REF!</v>
      </c>
      <c r="EP28" t="e">
        <f>AND('Listado General'!#REF!,"AAAAADfr+5E=")</f>
        <v>#REF!</v>
      </c>
      <c r="EQ28" t="e">
        <f>AND('Listado General'!#REF!,"AAAAADfr+5I=")</f>
        <v>#REF!</v>
      </c>
      <c r="ER28" t="e">
        <f>AND('Listado General'!#REF!,"AAAAADfr+5M=")</f>
        <v>#REF!</v>
      </c>
      <c r="ES28" t="e">
        <f>AND('Listado General'!#REF!,"AAAAADfr+5Q=")</f>
        <v>#REF!</v>
      </c>
      <c r="ET28" t="e">
        <f>AND('Listado General'!#REF!,"AAAAADfr+5U=")</f>
        <v>#REF!</v>
      </c>
      <c r="EU28" t="e">
        <f>AND('Listado General'!#REF!,"AAAAADfr+5Y=")</f>
        <v>#REF!</v>
      </c>
      <c r="EV28" t="e">
        <f>AND('Listado General'!#REF!,"AAAAADfr+5c=")</f>
        <v>#REF!</v>
      </c>
      <c r="EW28" t="e">
        <f>AND('Listado General'!#REF!,"AAAAADfr+5g=")</f>
        <v>#REF!</v>
      </c>
      <c r="EX28" t="e">
        <f>IF('Listado General'!#REF!,"AAAAADfr+5k=",0)</f>
        <v>#REF!</v>
      </c>
      <c r="EY28" t="e">
        <f>AND('Listado General'!#REF!,"AAAAADfr+5o=")</f>
        <v>#REF!</v>
      </c>
      <c r="EZ28" t="e">
        <f>AND('Listado General'!#REF!,"AAAAADfr+5s=")</f>
        <v>#REF!</v>
      </c>
      <c r="FA28" t="e">
        <f>AND('Listado General'!#REF!,"AAAAADfr+5w=")</f>
        <v>#REF!</v>
      </c>
      <c r="FB28" t="e">
        <f>AND('Listado General'!#REF!,"AAAAADfr+50=")</f>
        <v>#REF!</v>
      </c>
      <c r="FC28" t="e">
        <f>AND('Listado General'!#REF!,"AAAAADfr+54=")</f>
        <v>#REF!</v>
      </c>
      <c r="FD28" t="e">
        <f>AND('Listado General'!#REF!,"AAAAADfr+58=")</f>
        <v>#REF!</v>
      </c>
      <c r="FE28" t="e">
        <f>AND('Listado General'!#REF!,"AAAAADfr+6A=")</f>
        <v>#REF!</v>
      </c>
      <c r="FF28" t="e">
        <f>AND('Listado General'!#REF!,"AAAAADfr+6E=")</f>
        <v>#REF!</v>
      </c>
      <c r="FG28" t="e">
        <f>AND('Listado General'!#REF!,"AAAAADfr+6I=")</f>
        <v>#REF!</v>
      </c>
      <c r="FH28" t="e">
        <f>IF('Listado General'!#REF!,"AAAAADfr+6M=",0)</f>
        <v>#REF!</v>
      </c>
      <c r="FI28" t="e">
        <f>AND('Listado General'!#REF!,"AAAAADfr+6Q=")</f>
        <v>#REF!</v>
      </c>
      <c r="FJ28" t="e">
        <f>AND('Listado General'!#REF!,"AAAAADfr+6U=")</f>
        <v>#REF!</v>
      </c>
      <c r="FK28" t="e">
        <f>AND('Listado General'!#REF!,"AAAAADfr+6Y=")</f>
        <v>#REF!</v>
      </c>
      <c r="FL28" t="e">
        <f>AND('Listado General'!#REF!,"AAAAADfr+6c=")</f>
        <v>#REF!</v>
      </c>
      <c r="FM28" t="e">
        <f>AND('Listado General'!#REF!,"AAAAADfr+6g=")</f>
        <v>#REF!</v>
      </c>
      <c r="FN28" t="e">
        <f>AND('Listado General'!#REF!,"AAAAADfr+6k=")</f>
        <v>#REF!</v>
      </c>
      <c r="FO28" t="e">
        <f>AND('Listado General'!#REF!,"AAAAADfr+6o=")</f>
        <v>#REF!</v>
      </c>
      <c r="FP28" t="e">
        <f>AND('Listado General'!#REF!,"AAAAADfr+6s=")</f>
        <v>#REF!</v>
      </c>
      <c r="FQ28" t="e">
        <f>AND('Listado General'!#REF!,"AAAAADfr+6w=")</f>
        <v>#REF!</v>
      </c>
      <c r="FR28" t="e">
        <f>IF('Listado General'!#REF!,"AAAAADfr+60=",0)</f>
        <v>#REF!</v>
      </c>
      <c r="FS28" t="e">
        <f>AND('Listado General'!#REF!,"AAAAADfr+64=")</f>
        <v>#REF!</v>
      </c>
      <c r="FT28" t="e">
        <f>AND('Listado General'!#REF!,"AAAAADfr+68=")</f>
        <v>#REF!</v>
      </c>
      <c r="FU28" t="e">
        <f>AND('Listado General'!#REF!,"AAAAADfr+7A=")</f>
        <v>#REF!</v>
      </c>
      <c r="FV28" t="e">
        <f>AND('Listado General'!#REF!,"AAAAADfr+7E=")</f>
        <v>#REF!</v>
      </c>
      <c r="FW28" t="e">
        <f>AND('Listado General'!#REF!,"AAAAADfr+7I=")</f>
        <v>#REF!</v>
      </c>
      <c r="FX28" t="e">
        <f>AND('Listado General'!#REF!,"AAAAADfr+7M=")</f>
        <v>#REF!</v>
      </c>
      <c r="FY28" t="e">
        <f>AND('Listado General'!#REF!,"AAAAADfr+7Q=")</f>
        <v>#REF!</v>
      </c>
      <c r="FZ28" t="e">
        <f>AND('Listado General'!#REF!,"AAAAADfr+7U=")</f>
        <v>#REF!</v>
      </c>
      <c r="GA28" t="e">
        <f>AND('Listado General'!#REF!,"AAAAADfr+7Y=")</f>
        <v>#REF!</v>
      </c>
      <c r="GB28" t="e">
        <f>IF('Listado General'!#REF!,"AAAAADfr+7c=",0)</f>
        <v>#REF!</v>
      </c>
      <c r="GC28" t="e">
        <f>AND('Listado General'!#REF!,"AAAAADfr+7g=")</f>
        <v>#REF!</v>
      </c>
      <c r="GD28" t="e">
        <f>AND('Listado General'!#REF!,"AAAAADfr+7k=")</f>
        <v>#REF!</v>
      </c>
      <c r="GE28" t="e">
        <f>AND('Listado General'!#REF!,"AAAAADfr+7o=")</f>
        <v>#REF!</v>
      </c>
      <c r="GF28" t="e">
        <f>AND('Listado General'!#REF!,"AAAAADfr+7s=")</f>
        <v>#REF!</v>
      </c>
      <c r="GG28" t="e">
        <f>AND('Listado General'!#REF!,"AAAAADfr+7w=")</f>
        <v>#REF!</v>
      </c>
      <c r="GH28" t="e">
        <f>AND('Listado General'!#REF!,"AAAAADfr+70=")</f>
        <v>#REF!</v>
      </c>
      <c r="GI28" t="e">
        <f>AND('Listado General'!#REF!,"AAAAADfr+74=")</f>
        <v>#REF!</v>
      </c>
      <c r="GJ28" t="e">
        <f>AND('Listado General'!#REF!,"AAAAADfr+78=")</f>
        <v>#REF!</v>
      </c>
      <c r="GK28" t="e">
        <f>AND('Listado General'!#REF!,"AAAAADfr+8A=")</f>
        <v>#REF!</v>
      </c>
      <c r="GL28" t="e">
        <f>IF('Listado General'!#REF!,"AAAAADfr+8E=",0)</f>
        <v>#REF!</v>
      </c>
      <c r="GM28" t="e">
        <f>AND('Listado General'!#REF!,"AAAAADfr+8I=")</f>
        <v>#REF!</v>
      </c>
      <c r="GN28" t="e">
        <f>AND('Listado General'!#REF!,"AAAAADfr+8M=")</f>
        <v>#REF!</v>
      </c>
      <c r="GO28" t="e">
        <f>AND('Listado General'!#REF!,"AAAAADfr+8Q=")</f>
        <v>#REF!</v>
      </c>
      <c r="GP28" t="e">
        <f>AND('Listado General'!#REF!,"AAAAADfr+8U=")</f>
        <v>#REF!</v>
      </c>
      <c r="GQ28" t="e">
        <f>AND('Listado General'!#REF!,"AAAAADfr+8Y=")</f>
        <v>#REF!</v>
      </c>
      <c r="GR28" t="e">
        <f>AND('Listado General'!#REF!,"AAAAADfr+8c=")</f>
        <v>#REF!</v>
      </c>
      <c r="GS28" t="e">
        <f>AND('Listado General'!#REF!,"AAAAADfr+8g=")</f>
        <v>#REF!</v>
      </c>
      <c r="GT28" t="e">
        <f>AND('Listado General'!#REF!,"AAAAADfr+8k=")</f>
        <v>#REF!</v>
      </c>
      <c r="GU28" t="e">
        <f>AND('Listado General'!#REF!,"AAAAADfr+8o=")</f>
        <v>#REF!</v>
      </c>
      <c r="GV28" t="e">
        <f>IF('Listado General'!#REF!,"AAAAADfr+8s=",0)</f>
        <v>#REF!</v>
      </c>
      <c r="GW28" t="e">
        <f>AND('Listado General'!#REF!,"AAAAADfr+8w=")</f>
        <v>#REF!</v>
      </c>
      <c r="GX28" t="e">
        <f>AND('Listado General'!#REF!,"AAAAADfr+80=")</f>
        <v>#REF!</v>
      </c>
      <c r="GY28" t="e">
        <f>AND('Listado General'!#REF!,"AAAAADfr+84=")</f>
        <v>#REF!</v>
      </c>
      <c r="GZ28" t="e">
        <f>AND('Listado General'!#REF!,"AAAAADfr+88=")</f>
        <v>#REF!</v>
      </c>
      <c r="HA28" t="e">
        <f>AND('Listado General'!#REF!,"AAAAADfr+9A=")</f>
        <v>#REF!</v>
      </c>
      <c r="HB28" t="e">
        <f>AND('Listado General'!#REF!,"AAAAADfr+9E=")</f>
        <v>#REF!</v>
      </c>
      <c r="HC28" t="e">
        <f>AND('Listado General'!#REF!,"AAAAADfr+9I=")</f>
        <v>#REF!</v>
      </c>
      <c r="HD28" t="e">
        <f>AND('Listado General'!#REF!,"AAAAADfr+9M=")</f>
        <v>#REF!</v>
      </c>
      <c r="HE28" t="e">
        <f>AND('Listado General'!#REF!,"AAAAADfr+9Q=")</f>
        <v>#REF!</v>
      </c>
      <c r="HF28" t="e">
        <f>IF('Listado General'!#REF!,"AAAAADfr+9U=",0)</f>
        <v>#REF!</v>
      </c>
      <c r="HG28" t="e">
        <f>AND('Listado General'!#REF!,"AAAAADfr+9Y=")</f>
        <v>#REF!</v>
      </c>
      <c r="HH28" t="e">
        <f>AND('Listado General'!#REF!,"AAAAADfr+9c=")</f>
        <v>#REF!</v>
      </c>
      <c r="HI28" t="e">
        <f>AND('Listado General'!#REF!,"AAAAADfr+9g=")</f>
        <v>#REF!</v>
      </c>
      <c r="HJ28" t="e">
        <f>AND('Listado General'!#REF!,"AAAAADfr+9k=")</f>
        <v>#REF!</v>
      </c>
      <c r="HK28" t="e">
        <f>AND('Listado General'!#REF!,"AAAAADfr+9o=")</f>
        <v>#REF!</v>
      </c>
      <c r="HL28" t="e">
        <f>AND('Listado General'!#REF!,"AAAAADfr+9s=")</f>
        <v>#REF!</v>
      </c>
      <c r="HM28" t="e">
        <f>AND('Listado General'!#REF!,"AAAAADfr+9w=")</f>
        <v>#REF!</v>
      </c>
      <c r="HN28" t="e">
        <f>AND('Listado General'!#REF!,"AAAAADfr+90=")</f>
        <v>#REF!</v>
      </c>
      <c r="HO28" t="e">
        <f>AND('Listado General'!#REF!,"AAAAADfr+94=")</f>
        <v>#REF!</v>
      </c>
      <c r="HP28" t="e">
        <f>IF('Listado General'!#REF!,"AAAAADfr+98=",0)</f>
        <v>#REF!</v>
      </c>
      <c r="HQ28" t="e">
        <f>AND('Listado General'!#REF!,"AAAAADfr++A=")</f>
        <v>#REF!</v>
      </c>
      <c r="HR28" t="e">
        <f>AND('Listado General'!#REF!,"AAAAADfr++E=")</f>
        <v>#REF!</v>
      </c>
      <c r="HS28" t="e">
        <f>AND('Listado General'!#REF!,"AAAAADfr++I=")</f>
        <v>#REF!</v>
      </c>
      <c r="HT28" t="e">
        <f>AND('Listado General'!#REF!,"AAAAADfr++M=")</f>
        <v>#REF!</v>
      </c>
      <c r="HU28" t="e">
        <f>AND('Listado General'!#REF!,"AAAAADfr++Q=")</f>
        <v>#REF!</v>
      </c>
      <c r="HV28" t="e">
        <f>AND('Listado General'!#REF!,"AAAAADfr++U=")</f>
        <v>#REF!</v>
      </c>
      <c r="HW28" t="e">
        <f>AND('Listado General'!#REF!,"AAAAADfr++Y=")</f>
        <v>#REF!</v>
      </c>
      <c r="HX28" t="e">
        <f>AND('Listado General'!#REF!,"AAAAADfr++c=")</f>
        <v>#REF!</v>
      </c>
      <c r="HY28" t="e">
        <f>AND('Listado General'!#REF!,"AAAAADfr++g=")</f>
        <v>#REF!</v>
      </c>
      <c r="HZ28" t="e">
        <f>IF('Listado General'!#REF!,"AAAAADfr++k=",0)</f>
        <v>#REF!</v>
      </c>
      <c r="IA28" t="e">
        <f>AND('Listado General'!#REF!,"AAAAADfr++o=")</f>
        <v>#REF!</v>
      </c>
      <c r="IB28" t="e">
        <f>AND('Listado General'!#REF!,"AAAAADfr++s=")</f>
        <v>#REF!</v>
      </c>
      <c r="IC28" t="e">
        <f>AND('Listado General'!#REF!,"AAAAADfr++w=")</f>
        <v>#REF!</v>
      </c>
      <c r="ID28" t="e">
        <f>AND('Listado General'!#REF!,"AAAAADfr++0=")</f>
        <v>#REF!</v>
      </c>
      <c r="IE28" t="e">
        <f>AND('Listado General'!#REF!,"AAAAADfr++4=")</f>
        <v>#REF!</v>
      </c>
      <c r="IF28" t="e">
        <f>AND('Listado General'!#REF!,"AAAAADfr++8=")</f>
        <v>#REF!</v>
      </c>
      <c r="IG28" t="e">
        <f>AND('Listado General'!#REF!,"AAAAADfr+/A=")</f>
        <v>#REF!</v>
      </c>
      <c r="IH28" t="e">
        <f>AND('Listado General'!#REF!,"AAAAADfr+/E=")</f>
        <v>#REF!</v>
      </c>
      <c r="II28" t="e">
        <f>AND('Listado General'!#REF!,"AAAAADfr+/I=")</f>
        <v>#REF!</v>
      </c>
      <c r="IJ28" t="e">
        <f>IF('Listado General'!#REF!,"AAAAADfr+/M=",0)</f>
        <v>#REF!</v>
      </c>
      <c r="IK28" t="e">
        <f>AND('Listado General'!#REF!,"AAAAADfr+/Q=")</f>
        <v>#REF!</v>
      </c>
      <c r="IL28" t="e">
        <f>AND('Listado General'!#REF!,"AAAAADfr+/U=")</f>
        <v>#REF!</v>
      </c>
      <c r="IM28" t="e">
        <f>AND('Listado General'!#REF!,"AAAAADfr+/Y=")</f>
        <v>#REF!</v>
      </c>
      <c r="IN28" t="e">
        <f>AND('Listado General'!#REF!,"AAAAADfr+/c=")</f>
        <v>#REF!</v>
      </c>
      <c r="IO28" t="e">
        <f>AND('Listado General'!#REF!,"AAAAADfr+/g=")</f>
        <v>#REF!</v>
      </c>
      <c r="IP28" t="e">
        <f>AND('Listado General'!#REF!,"AAAAADfr+/k=")</f>
        <v>#REF!</v>
      </c>
      <c r="IQ28" t="e">
        <f>AND('Listado General'!#REF!,"AAAAADfr+/o=")</f>
        <v>#REF!</v>
      </c>
      <c r="IR28" t="e">
        <f>AND('Listado General'!#REF!,"AAAAADfr+/s=")</f>
        <v>#REF!</v>
      </c>
      <c r="IS28" t="e">
        <f>AND('Listado General'!#REF!,"AAAAADfr+/w=")</f>
        <v>#REF!</v>
      </c>
      <c r="IT28" t="e">
        <f>IF('Listado General'!#REF!,"AAAAADfr+/0=",0)</f>
        <v>#REF!</v>
      </c>
      <c r="IU28" t="e">
        <f>AND('Listado General'!#REF!,"AAAAADfr+/4=")</f>
        <v>#REF!</v>
      </c>
      <c r="IV28" t="e">
        <f>AND('Listado General'!#REF!,"AAAAADfr+/8=")</f>
        <v>#REF!</v>
      </c>
    </row>
    <row r="29" spans="1:256" ht="12.75">
      <c r="A29" t="e">
        <f>AND('Listado General'!#REF!,"AAAAAH0utwA=")</f>
        <v>#REF!</v>
      </c>
      <c r="B29" t="e">
        <f>AND('Listado General'!#REF!,"AAAAAH0utwE=")</f>
        <v>#REF!</v>
      </c>
      <c r="C29" t="e">
        <f>AND('Listado General'!#REF!,"AAAAAH0utwI=")</f>
        <v>#REF!</v>
      </c>
      <c r="D29" t="e">
        <f>AND('Listado General'!#REF!,"AAAAAH0utwM=")</f>
        <v>#REF!</v>
      </c>
      <c r="E29" t="e">
        <f>AND('Listado General'!#REF!,"AAAAAH0utwQ=")</f>
        <v>#REF!</v>
      </c>
      <c r="F29" t="e">
        <f>AND('Listado General'!#REF!,"AAAAAH0utwU=")</f>
        <v>#REF!</v>
      </c>
      <c r="G29" t="e">
        <f>AND('Listado General'!#REF!,"AAAAAH0utwY=")</f>
        <v>#REF!</v>
      </c>
      <c r="H29" t="e">
        <f>IF('Listado General'!#REF!,"AAAAAH0utwc=",0)</f>
        <v>#REF!</v>
      </c>
      <c r="I29" t="e">
        <f>AND('Listado General'!#REF!,"AAAAAH0utwg=")</f>
        <v>#REF!</v>
      </c>
      <c r="J29" t="e">
        <f>AND('Listado General'!#REF!,"AAAAAH0utwk=")</f>
        <v>#REF!</v>
      </c>
      <c r="K29" t="e">
        <f>AND('Listado General'!#REF!,"AAAAAH0utwo=")</f>
        <v>#REF!</v>
      </c>
      <c r="L29" t="e">
        <f>AND('Listado General'!#REF!,"AAAAAH0utws=")</f>
        <v>#REF!</v>
      </c>
      <c r="M29" t="e">
        <f>AND('Listado General'!#REF!,"AAAAAH0utww=")</f>
        <v>#REF!</v>
      </c>
      <c r="N29" t="e">
        <f>AND('Listado General'!#REF!,"AAAAAH0utw0=")</f>
        <v>#REF!</v>
      </c>
      <c r="O29" t="e">
        <f>AND('Listado General'!#REF!,"AAAAAH0utw4=")</f>
        <v>#REF!</v>
      </c>
      <c r="P29" t="e">
        <f>AND('Listado General'!#REF!,"AAAAAH0utw8=")</f>
        <v>#REF!</v>
      </c>
      <c r="Q29" t="e">
        <f>AND('Listado General'!#REF!,"AAAAAH0utxA=")</f>
        <v>#REF!</v>
      </c>
      <c r="R29" t="e">
        <f>IF('Listado General'!#REF!,"AAAAAH0utxE=",0)</f>
        <v>#REF!</v>
      </c>
      <c r="S29" t="e">
        <f>AND('Listado General'!#REF!,"AAAAAH0utxI=")</f>
        <v>#REF!</v>
      </c>
      <c r="T29" t="e">
        <f>AND('Listado General'!#REF!,"AAAAAH0utxM=")</f>
        <v>#REF!</v>
      </c>
      <c r="U29" t="e">
        <f>AND('Listado General'!#REF!,"AAAAAH0utxQ=")</f>
        <v>#REF!</v>
      </c>
      <c r="V29" t="e">
        <f>AND('Listado General'!#REF!,"AAAAAH0utxU=")</f>
        <v>#REF!</v>
      </c>
      <c r="W29" t="e">
        <f>AND('Listado General'!#REF!,"AAAAAH0utxY=")</f>
        <v>#REF!</v>
      </c>
      <c r="X29" t="e">
        <f>AND('Listado General'!#REF!,"AAAAAH0utxc=")</f>
        <v>#REF!</v>
      </c>
      <c r="Y29" t="e">
        <f>AND('Listado General'!#REF!,"AAAAAH0utxg=")</f>
        <v>#REF!</v>
      </c>
      <c r="Z29" t="e">
        <f>AND('Listado General'!#REF!,"AAAAAH0utxk=")</f>
        <v>#REF!</v>
      </c>
      <c r="AA29" t="e">
        <f>AND('Listado General'!#REF!,"AAAAAH0utxo=")</f>
        <v>#REF!</v>
      </c>
      <c r="AB29" t="e">
        <f>IF('Listado General'!#REF!,"AAAAAH0utxs=",0)</f>
        <v>#REF!</v>
      </c>
      <c r="AC29" t="e">
        <f>AND('Listado General'!#REF!,"AAAAAH0utxw=")</f>
        <v>#REF!</v>
      </c>
      <c r="AD29" t="e">
        <f>AND('Listado General'!#REF!,"AAAAAH0utx0=")</f>
        <v>#REF!</v>
      </c>
      <c r="AE29" t="e">
        <f>AND('Listado General'!#REF!,"AAAAAH0utx4=")</f>
        <v>#REF!</v>
      </c>
      <c r="AF29" t="e">
        <f>AND('Listado General'!#REF!,"AAAAAH0utx8=")</f>
        <v>#REF!</v>
      </c>
      <c r="AG29" t="e">
        <f>AND('Listado General'!#REF!,"AAAAAH0utyA=")</f>
        <v>#REF!</v>
      </c>
      <c r="AH29" t="e">
        <f>AND('Listado General'!#REF!,"AAAAAH0utyE=")</f>
        <v>#REF!</v>
      </c>
      <c r="AI29" t="e">
        <f>AND('Listado General'!#REF!,"AAAAAH0utyI=")</f>
        <v>#REF!</v>
      </c>
      <c r="AJ29" t="e">
        <f>AND('Listado General'!#REF!,"AAAAAH0utyM=")</f>
        <v>#REF!</v>
      </c>
      <c r="AK29" t="e">
        <f>AND('Listado General'!#REF!,"AAAAAH0utyQ=")</f>
        <v>#REF!</v>
      </c>
      <c r="AL29" t="e">
        <f>IF('Listado General'!#REF!,"AAAAAH0utyU=",0)</f>
        <v>#REF!</v>
      </c>
      <c r="AM29" t="e">
        <f>AND('Listado General'!#REF!,"AAAAAH0utyY=")</f>
        <v>#REF!</v>
      </c>
      <c r="AN29" t="e">
        <f>AND('Listado General'!#REF!,"AAAAAH0utyc=")</f>
        <v>#REF!</v>
      </c>
      <c r="AO29" t="e">
        <f>AND('Listado General'!#REF!,"AAAAAH0utyg=")</f>
        <v>#REF!</v>
      </c>
      <c r="AP29" t="e">
        <f>AND('Listado General'!#REF!,"AAAAAH0utyk=")</f>
        <v>#REF!</v>
      </c>
      <c r="AQ29" t="e">
        <f>AND('Listado General'!#REF!,"AAAAAH0utyo=")</f>
        <v>#REF!</v>
      </c>
      <c r="AR29" t="e">
        <f>AND('Listado General'!#REF!,"AAAAAH0utys=")</f>
        <v>#REF!</v>
      </c>
      <c r="AS29" t="e">
        <f>AND('Listado General'!#REF!,"AAAAAH0utyw=")</f>
        <v>#REF!</v>
      </c>
      <c r="AT29" t="e">
        <f>AND('Listado General'!#REF!,"AAAAAH0uty0=")</f>
        <v>#REF!</v>
      </c>
      <c r="AU29" t="e">
        <f>AND('Listado General'!#REF!,"AAAAAH0uty4=")</f>
        <v>#REF!</v>
      </c>
      <c r="AV29" t="e">
        <f>IF('Listado General'!#REF!,"AAAAAH0uty8=",0)</f>
        <v>#REF!</v>
      </c>
      <c r="AW29" t="e">
        <f>AND('Listado General'!#REF!,"AAAAAH0utzA=")</f>
        <v>#REF!</v>
      </c>
      <c r="AX29" t="e">
        <f>AND('Listado General'!#REF!,"AAAAAH0utzE=")</f>
        <v>#REF!</v>
      </c>
      <c r="AY29" t="e">
        <f>AND('Listado General'!#REF!,"AAAAAH0utzI=")</f>
        <v>#REF!</v>
      </c>
      <c r="AZ29" t="e">
        <f>AND('Listado General'!#REF!,"AAAAAH0utzM=")</f>
        <v>#REF!</v>
      </c>
      <c r="BA29" t="e">
        <f>AND('Listado General'!#REF!,"AAAAAH0utzQ=")</f>
        <v>#REF!</v>
      </c>
      <c r="BB29" t="e">
        <f>AND('Listado General'!#REF!,"AAAAAH0utzU=")</f>
        <v>#REF!</v>
      </c>
      <c r="BC29" t="e">
        <f>AND('Listado General'!#REF!,"AAAAAH0utzY=")</f>
        <v>#REF!</v>
      </c>
      <c r="BD29" t="e">
        <f>AND('Listado General'!#REF!,"AAAAAH0utzc=")</f>
        <v>#REF!</v>
      </c>
      <c r="BE29" t="e">
        <f>AND('Listado General'!#REF!,"AAAAAH0utzg=")</f>
        <v>#REF!</v>
      </c>
      <c r="BF29" t="e">
        <f>IF('Listado General'!#REF!,"AAAAAH0utzk=",0)</f>
        <v>#REF!</v>
      </c>
      <c r="BG29" t="e">
        <f>AND('Listado General'!#REF!,"AAAAAH0utzo=")</f>
        <v>#REF!</v>
      </c>
      <c r="BH29" t="e">
        <f>AND('Listado General'!#REF!,"AAAAAH0utzs=")</f>
        <v>#REF!</v>
      </c>
      <c r="BI29" t="e">
        <f>AND('Listado General'!#REF!,"AAAAAH0utzw=")</f>
        <v>#REF!</v>
      </c>
      <c r="BJ29" t="e">
        <f>AND('Listado General'!#REF!,"AAAAAH0utz0=")</f>
        <v>#REF!</v>
      </c>
      <c r="BK29" t="e">
        <f>AND('Listado General'!#REF!,"AAAAAH0utz4=")</f>
        <v>#REF!</v>
      </c>
      <c r="BL29" t="e">
        <f>AND('Listado General'!#REF!,"AAAAAH0utz8=")</f>
        <v>#REF!</v>
      </c>
      <c r="BM29" t="e">
        <f>AND('Listado General'!#REF!,"AAAAAH0ut0A=")</f>
        <v>#REF!</v>
      </c>
      <c r="BN29" t="e">
        <f>AND('Listado General'!#REF!,"AAAAAH0ut0E=")</f>
        <v>#REF!</v>
      </c>
      <c r="BO29" t="e">
        <f>AND('Listado General'!#REF!,"AAAAAH0ut0I=")</f>
        <v>#REF!</v>
      </c>
      <c r="BP29" t="e">
        <f>IF('Listado General'!#REF!,"AAAAAH0ut0M=",0)</f>
        <v>#REF!</v>
      </c>
      <c r="BQ29" t="e">
        <f>AND('Listado General'!#REF!,"AAAAAH0ut0Q=")</f>
        <v>#REF!</v>
      </c>
      <c r="BR29" t="e">
        <f>AND('Listado General'!#REF!,"AAAAAH0ut0U=")</f>
        <v>#REF!</v>
      </c>
      <c r="BS29" t="e">
        <f>AND('Listado General'!#REF!,"AAAAAH0ut0Y=")</f>
        <v>#REF!</v>
      </c>
      <c r="BT29" t="e">
        <f>AND('Listado General'!#REF!,"AAAAAH0ut0c=")</f>
        <v>#REF!</v>
      </c>
      <c r="BU29" t="e">
        <f>AND('Listado General'!#REF!,"AAAAAH0ut0g=")</f>
        <v>#REF!</v>
      </c>
      <c r="BV29" t="e">
        <f>AND('Listado General'!#REF!,"AAAAAH0ut0k=")</f>
        <v>#REF!</v>
      </c>
      <c r="BW29" t="e">
        <f>AND('Listado General'!#REF!,"AAAAAH0ut0o=")</f>
        <v>#REF!</v>
      </c>
      <c r="BX29" t="e">
        <f>AND('Listado General'!#REF!,"AAAAAH0ut0s=")</f>
        <v>#REF!</v>
      </c>
      <c r="BY29" t="e">
        <f>AND('Listado General'!#REF!,"AAAAAH0ut0w=")</f>
        <v>#REF!</v>
      </c>
      <c r="BZ29" t="e">
        <f>IF('Listado General'!#REF!,"AAAAAH0ut00=",0)</f>
        <v>#REF!</v>
      </c>
      <c r="CA29" t="e">
        <f>AND('Listado General'!#REF!,"AAAAAH0ut04=")</f>
        <v>#REF!</v>
      </c>
      <c r="CB29" t="e">
        <f>AND('Listado General'!#REF!,"AAAAAH0ut08=")</f>
        <v>#REF!</v>
      </c>
      <c r="CC29" t="e">
        <f>AND('Listado General'!#REF!,"AAAAAH0ut1A=")</f>
        <v>#REF!</v>
      </c>
      <c r="CD29" t="e">
        <f>AND('Listado General'!#REF!,"AAAAAH0ut1E=")</f>
        <v>#REF!</v>
      </c>
      <c r="CE29" t="e">
        <f>AND('Listado General'!#REF!,"AAAAAH0ut1I=")</f>
        <v>#REF!</v>
      </c>
      <c r="CF29" t="e">
        <f>AND('Listado General'!#REF!,"AAAAAH0ut1M=")</f>
        <v>#REF!</v>
      </c>
      <c r="CG29" t="e">
        <f>AND('Listado General'!#REF!,"AAAAAH0ut1Q=")</f>
        <v>#REF!</v>
      </c>
      <c r="CH29" t="e">
        <f>AND('Listado General'!#REF!,"AAAAAH0ut1U=")</f>
        <v>#REF!</v>
      </c>
      <c r="CI29" t="e">
        <f>AND('Listado General'!#REF!,"AAAAAH0ut1Y=")</f>
        <v>#REF!</v>
      </c>
      <c r="CJ29" t="e">
        <f>IF('Listado General'!#REF!,"AAAAAH0ut1c=",0)</f>
        <v>#REF!</v>
      </c>
      <c r="CK29" t="e">
        <f>AND('Listado General'!#REF!,"AAAAAH0ut1g=")</f>
        <v>#REF!</v>
      </c>
      <c r="CL29" t="e">
        <f>AND('Listado General'!#REF!,"AAAAAH0ut1k=")</f>
        <v>#REF!</v>
      </c>
      <c r="CM29" t="e">
        <f>AND('Listado General'!#REF!,"AAAAAH0ut1o=")</f>
        <v>#REF!</v>
      </c>
      <c r="CN29" t="e">
        <f>AND('Listado General'!#REF!,"AAAAAH0ut1s=")</f>
        <v>#REF!</v>
      </c>
      <c r="CO29" t="e">
        <f>AND('Listado General'!#REF!,"AAAAAH0ut1w=")</f>
        <v>#REF!</v>
      </c>
      <c r="CP29" t="e">
        <f>AND('Listado General'!#REF!,"AAAAAH0ut10=")</f>
        <v>#REF!</v>
      </c>
      <c r="CQ29" t="e">
        <f>AND('Listado General'!#REF!,"AAAAAH0ut14=")</f>
        <v>#REF!</v>
      </c>
      <c r="CR29" t="e">
        <f>AND('Listado General'!#REF!,"AAAAAH0ut18=")</f>
        <v>#REF!</v>
      </c>
      <c r="CS29" t="e">
        <f>AND('Listado General'!#REF!,"AAAAAH0ut2A=")</f>
        <v>#REF!</v>
      </c>
      <c r="CT29" t="e">
        <f>IF('Listado General'!#REF!,"AAAAAH0ut2E=",0)</f>
        <v>#REF!</v>
      </c>
      <c r="CU29" t="e">
        <f>AND('Listado General'!#REF!,"AAAAAH0ut2I=")</f>
        <v>#REF!</v>
      </c>
      <c r="CV29" t="e">
        <f>AND('Listado General'!#REF!,"AAAAAH0ut2M=")</f>
        <v>#REF!</v>
      </c>
      <c r="CW29" t="e">
        <f>AND('Listado General'!#REF!,"AAAAAH0ut2Q=")</f>
        <v>#REF!</v>
      </c>
      <c r="CX29" t="e">
        <f>AND('Listado General'!#REF!,"AAAAAH0ut2U=")</f>
        <v>#REF!</v>
      </c>
      <c r="CY29" t="e">
        <f>AND('Listado General'!#REF!,"AAAAAH0ut2Y=")</f>
        <v>#REF!</v>
      </c>
      <c r="CZ29" t="e">
        <f>AND('Listado General'!#REF!,"AAAAAH0ut2c=")</f>
        <v>#REF!</v>
      </c>
      <c r="DA29" t="e">
        <f>AND('Listado General'!#REF!,"AAAAAH0ut2g=")</f>
        <v>#REF!</v>
      </c>
      <c r="DB29" t="e">
        <f>AND('Listado General'!#REF!,"AAAAAH0ut2k=")</f>
        <v>#REF!</v>
      </c>
      <c r="DC29" t="e">
        <f>AND('Listado General'!#REF!,"AAAAAH0ut2o=")</f>
        <v>#REF!</v>
      </c>
      <c r="DD29" t="e">
        <f>IF('Listado General'!#REF!,"AAAAAH0ut2s=",0)</f>
        <v>#REF!</v>
      </c>
      <c r="DE29" t="e">
        <f>AND('Listado General'!#REF!,"AAAAAH0ut2w=")</f>
        <v>#REF!</v>
      </c>
      <c r="DF29" t="e">
        <f>AND('Listado General'!#REF!,"AAAAAH0ut20=")</f>
        <v>#REF!</v>
      </c>
      <c r="DG29" t="e">
        <f>AND('Listado General'!#REF!,"AAAAAH0ut24=")</f>
        <v>#REF!</v>
      </c>
      <c r="DH29" t="e">
        <f>AND('Listado General'!#REF!,"AAAAAH0ut28=")</f>
        <v>#REF!</v>
      </c>
      <c r="DI29" t="e">
        <f>AND('Listado General'!#REF!,"AAAAAH0ut3A=")</f>
        <v>#REF!</v>
      </c>
      <c r="DJ29" t="e">
        <f>AND('Listado General'!#REF!,"AAAAAH0ut3E=")</f>
        <v>#REF!</v>
      </c>
      <c r="DK29" t="e">
        <f>AND('Listado General'!#REF!,"AAAAAH0ut3I=")</f>
        <v>#REF!</v>
      </c>
      <c r="DL29" t="e">
        <f>AND('Listado General'!#REF!,"AAAAAH0ut3M=")</f>
        <v>#REF!</v>
      </c>
      <c r="DM29" t="e">
        <f>AND('Listado General'!#REF!,"AAAAAH0ut3Q=")</f>
        <v>#REF!</v>
      </c>
      <c r="DN29" t="e">
        <f>IF('Listado General'!#REF!,"AAAAAH0ut3U=",0)</f>
        <v>#REF!</v>
      </c>
      <c r="DO29" t="e">
        <f>AND('Listado General'!#REF!,"AAAAAH0ut3Y=")</f>
        <v>#REF!</v>
      </c>
      <c r="DP29" t="e">
        <f>AND('Listado General'!#REF!,"AAAAAH0ut3c=")</f>
        <v>#REF!</v>
      </c>
      <c r="DQ29" t="e">
        <f>AND('Listado General'!#REF!,"AAAAAH0ut3g=")</f>
        <v>#REF!</v>
      </c>
      <c r="DR29" t="e">
        <f>AND('Listado General'!#REF!,"AAAAAH0ut3k=")</f>
        <v>#REF!</v>
      </c>
      <c r="DS29" t="e">
        <f>AND('Listado General'!#REF!,"AAAAAH0ut3o=")</f>
        <v>#REF!</v>
      </c>
      <c r="DT29" t="e">
        <f>AND('Listado General'!#REF!,"AAAAAH0ut3s=")</f>
        <v>#REF!</v>
      </c>
      <c r="DU29" t="e">
        <f>AND('Listado General'!#REF!,"AAAAAH0ut3w=")</f>
        <v>#REF!</v>
      </c>
      <c r="DV29" t="e">
        <f>AND('Listado General'!#REF!,"AAAAAH0ut30=")</f>
        <v>#REF!</v>
      </c>
      <c r="DW29" t="e">
        <f>AND('Listado General'!#REF!,"AAAAAH0ut34=")</f>
        <v>#REF!</v>
      </c>
      <c r="DX29" t="e">
        <f>IF('Listado General'!#REF!,"AAAAAH0ut38=",0)</f>
        <v>#REF!</v>
      </c>
      <c r="DY29" t="e">
        <f>AND('Listado General'!#REF!,"AAAAAH0ut4A=")</f>
        <v>#REF!</v>
      </c>
      <c r="DZ29" t="e">
        <f>AND('Listado General'!#REF!,"AAAAAH0ut4E=")</f>
        <v>#REF!</v>
      </c>
      <c r="EA29" t="e">
        <f>AND('Listado General'!#REF!,"AAAAAH0ut4I=")</f>
        <v>#REF!</v>
      </c>
      <c r="EB29" t="e">
        <f>AND('Listado General'!#REF!,"AAAAAH0ut4M=")</f>
        <v>#REF!</v>
      </c>
      <c r="EC29" t="e">
        <f>AND('Listado General'!#REF!,"AAAAAH0ut4Q=")</f>
        <v>#REF!</v>
      </c>
      <c r="ED29" t="e">
        <f>AND('Listado General'!#REF!,"AAAAAH0ut4U=")</f>
        <v>#REF!</v>
      </c>
      <c r="EE29" t="e">
        <f>AND('Listado General'!#REF!,"AAAAAH0ut4Y=")</f>
        <v>#REF!</v>
      </c>
      <c r="EF29" t="e">
        <f>AND('Listado General'!#REF!,"AAAAAH0ut4c=")</f>
        <v>#REF!</v>
      </c>
      <c r="EG29" t="e">
        <f>AND('Listado General'!#REF!,"AAAAAH0ut4g=")</f>
        <v>#REF!</v>
      </c>
      <c r="EH29" t="e">
        <f>IF('Listado General'!#REF!,"AAAAAH0ut4k=",0)</f>
        <v>#REF!</v>
      </c>
      <c r="EI29" t="e">
        <f>AND('Listado General'!#REF!,"AAAAAH0ut4o=")</f>
        <v>#REF!</v>
      </c>
      <c r="EJ29" t="e">
        <f>AND('Listado General'!#REF!,"AAAAAH0ut4s=")</f>
        <v>#REF!</v>
      </c>
      <c r="EK29" t="e">
        <f>AND('Listado General'!#REF!,"AAAAAH0ut4w=")</f>
        <v>#REF!</v>
      </c>
      <c r="EL29" t="e">
        <f>AND('Listado General'!#REF!,"AAAAAH0ut40=")</f>
        <v>#REF!</v>
      </c>
      <c r="EM29" t="e">
        <f>AND('Listado General'!#REF!,"AAAAAH0ut44=")</f>
        <v>#REF!</v>
      </c>
      <c r="EN29" t="e">
        <f>AND('Listado General'!#REF!,"AAAAAH0ut48=")</f>
        <v>#REF!</v>
      </c>
      <c r="EO29" t="e">
        <f>AND('Listado General'!#REF!,"AAAAAH0ut5A=")</f>
        <v>#REF!</v>
      </c>
      <c r="EP29" t="e">
        <f>AND('Listado General'!#REF!,"AAAAAH0ut5E=")</f>
        <v>#REF!</v>
      </c>
      <c r="EQ29" t="e">
        <f>AND('Listado General'!#REF!,"AAAAAH0ut5I=")</f>
        <v>#REF!</v>
      </c>
      <c r="ER29" t="e">
        <f>IF('Listado General'!#REF!,"AAAAAH0ut5M=",0)</f>
        <v>#REF!</v>
      </c>
      <c r="ES29" t="e">
        <f>AND('Listado General'!#REF!,"AAAAAH0ut5Q=")</f>
        <v>#REF!</v>
      </c>
      <c r="ET29" t="e">
        <f>AND('Listado General'!#REF!,"AAAAAH0ut5U=")</f>
        <v>#REF!</v>
      </c>
      <c r="EU29" t="e">
        <f>AND('Listado General'!#REF!,"AAAAAH0ut5Y=")</f>
        <v>#REF!</v>
      </c>
      <c r="EV29" t="e">
        <f>AND('Listado General'!#REF!,"AAAAAH0ut5c=")</f>
        <v>#REF!</v>
      </c>
      <c r="EW29" t="e">
        <f>AND('Listado General'!#REF!,"AAAAAH0ut5g=")</f>
        <v>#REF!</v>
      </c>
      <c r="EX29" t="e">
        <f>AND('Listado General'!#REF!,"AAAAAH0ut5k=")</f>
        <v>#REF!</v>
      </c>
      <c r="EY29" t="e">
        <f>AND('Listado General'!#REF!,"AAAAAH0ut5o=")</f>
        <v>#REF!</v>
      </c>
      <c r="EZ29" t="e">
        <f>AND('Listado General'!#REF!,"AAAAAH0ut5s=")</f>
        <v>#REF!</v>
      </c>
      <c r="FA29" t="e">
        <f>AND('Listado General'!#REF!,"AAAAAH0ut5w=")</f>
        <v>#REF!</v>
      </c>
      <c r="FB29" t="e">
        <f>IF('Listado General'!#REF!,"AAAAAH0ut50=",0)</f>
        <v>#REF!</v>
      </c>
      <c r="FC29" t="e">
        <f>AND('Listado General'!#REF!,"AAAAAH0ut54=")</f>
        <v>#REF!</v>
      </c>
      <c r="FD29" t="e">
        <f>AND('Listado General'!#REF!,"AAAAAH0ut58=")</f>
        <v>#REF!</v>
      </c>
      <c r="FE29" t="e">
        <f>AND('Listado General'!#REF!,"AAAAAH0ut6A=")</f>
        <v>#REF!</v>
      </c>
      <c r="FF29" t="e">
        <f>AND('Listado General'!#REF!,"AAAAAH0ut6E=")</f>
        <v>#REF!</v>
      </c>
      <c r="FG29" t="e">
        <f>AND('Listado General'!#REF!,"AAAAAH0ut6I=")</f>
        <v>#REF!</v>
      </c>
      <c r="FH29" t="e">
        <f>AND('Listado General'!#REF!,"AAAAAH0ut6M=")</f>
        <v>#REF!</v>
      </c>
      <c r="FI29" t="e">
        <f>AND('Listado General'!#REF!,"AAAAAH0ut6Q=")</f>
        <v>#REF!</v>
      </c>
      <c r="FJ29" t="e">
        <f>AND('Listado General'!#REF!,"AAAAAH0ut6U=")</f>
        <v>#REF!</v>
      </c>
      <c r="FK29" t="e">
        <f>AND('Listado General'!#REF!,"AAAAAH0ut6Y=")</f>
        <v>#REF!</v>
      </c>
      <c r="FL29" t="e">
        <f>IF('Listado General'!#REF!,"AAAAAH0ut6c=",0)</f>
        <v>#REF!</v>
      </c>
      <c r="FM29" t="e">
        <f>AND('Listado General'!#REF!,"AAAAAH0ut6g=")</f>
        <v>#REF!</v>
      </c>
      <c r="FN29" t="e">
        <f>AND('Listado General'!#REF!,"AAAAAH0ut6k=")</f>
        <v>#REF!</v>
      </c>
      <c r="FO29" t="e">
        <f>AND('Listado General'!#REF!,"AAAAAH0ut6o=")</f>
        <v>#REF!</v>
      </c>
      <c r="FP29" t="e">
        <f>AND('Listado General'!#REF!,"AAAAAH0ut6s=")</f>
        <v>#REF!</v>
      </c>
      <c r="FQ29" t="e">
        <f>AND('Listado General'!#REF!,"AAAAAH0ut6w=")</f>
        <v>#REF!</v>
      </c>
      <c r="FR29" t="e">
        <f>AND('Listado General'!#REF!,"AAAAAH0ut60=")</f>
        <v>#REF!</v>
      </c>
      <c r="FS29" t="e">
        <f>AND('Listado General'!#REF!,"AAAAAH0ut64=")</f>
        <v>#REF!</v>
      </c>
      <c r="FT29" t="e">
        <f>AND('Listado General'!#REF!,"AAAAAH0ut68=")</f>
        <v>#REF!</v>
      </c>
      <c r="FU29" t="e">
        <f>AND('Listado General'!#REF!,"AAAAAH0ut7A=")</f>
        <v>#REF!</v>
      </c>
      <c r="FV29" t="e">
        <f>IF('Listado General'!#REF!,"AAAAAH0ut7E=",0)</f>
        <v>#REF!</v>
      </c>
      <c r="FW29" t="e">
        <f>AND('Listado General'!#REF!,"AAAAAH0ut7I=")</f>
        <v>#REF!</v>
      </c>
      <c r="FX29" t="e">
        <f>AND('Listado General'!#REF!,"AAAAAH0ut7M=")</f>
        <v>#REF!</v>
      </c>
      <c r="FY29" t="e">
        <f>AND('Listado General'!#REF!,"AAAAAH0ut7Q=")</f>
        <v>#REF!</v>
      </c>
      <c r="FZ29" t="e">
        <f>AND('Listado General'!#REF!,"AAAAAH0ut7U=")</f>
        <v>#REF!</v>
      </c>
      <c r="GA29" t="e">
        <f>AND('Listado General'!#REF!,"AAAAAH0ut7Y=")</f>
        <v>#REF!</v>
      </c>
      <c r="GB29" t="e">
        <f>AND('Listado General'!#REF!,"AAAAAH0ut7c=")</f>
        <v>#REF!</v>
      </c>
      <c r="GC29" t="e">
        <f>AND('Listado General'!#REF!,"AAAAAH0ut7g=")</f>
        <v>#REF!</v>
      </c>
      <c r="GD29" t="e">
        <f>AND('Listado General'!#REF!,"AAAAAH0ut7k=")</f>
        <v>#REF!</v>
      </c>
      <c r="GE29" t="e">
        <f>AND('Listado General'!#REF!,"AAAAAH0ut7o=")</f>
        <v>#REF!</v>
      </c>
      <c r="GF29" t="e">
        <f>IF('Listado General'!#REF!,"AAAAAH0ut7s=",0)</f>
        <v>#REF!</v>
      </c>
      <c r="GG29" t="e">
        <f>AND('Listado General'!#REF!,"AAAAAH0ut7w=")</f>
        <v>#REF!</v>
      </c>
      <c r="GH29" t="e">
        <f>AND('Listado General'!#REF!,"AAAAAH0ut70=")</f>
        <v>#REF!</v>
      </c>
      <c r="GI29" t="e">
        <f>AND('Listado General'!#REF!,"AAAAAH0ut74=")</f>
        <v>#REF!</v>
      </c>
      <c r="GJ29" t="e">
        <f>AND('Listado General'!#REF!,"AAAAAH0ut78=")</f>
        <v>#REF!</v>
      </c>
      <c r="GK29" t="e">
        <f>AND('Listado General'!#REF!,"AAAAAH0ut8A=")</f>
        <v>#REF!</v>
      </c>
      <c r="GL29" t="e">
        <f>AND('Listado General'!#REF!,"AAAAAH0ut8E=")</f>
        <v>#REF!</v>
      </c>
      <c r="GM29" t="e">
        <f>AND('Listado General'!#REF!,"AAAAAH0ut8I=")</f>
        <v>#REF!</v>
      </c>
      <c r="GN29" t="e">
        <f>AND('Listado General'!#REF!,"AAAAAH0ut8M=")</f>
        <v>#REF!</v>
      </c>
      <c r="GO29" t="e">
        <f>AND('Listado General'!#REF!,"AAAAAH0ut8Q=")</f>
        <v>#REF!</v>
      </c>
      <c r="GP29" t="e">
        <f>IF('Listado General'!#REF!,"AAAAAH0ut8U=",0)</f>
        <v>#REF!</v>
      </c>
      <c r="GQ29" t="e">
        <f>AND('Listado General'!#REF!,"AAAAAH0ut8Y=")</f>
        <v>#REF!</v>
      </c>
      <c r="GR29" t="e">
        <f>AND('Listado General'!#REF!,"AAAAAH0ut8c=")</f>
        <v>#REF!</v>
      </c>
      <c r="GS29" t="e">
        <f>AND('Listado General'!#REF!,"AAAAAH0ut8g=")</f>
        <v>#REF!</v>
      </c>
      <c r="GT29" t="e">
        <f>AND('Listado General'!#REF!,"AAAAAH0ut8k=")</f>
        <v>#REF!</v>
      </c>
      <c r="GU29" t="e">
        <f>AND('Listado General'!#REF!,"AAAAAH0ut8o=")</f>
        <v>#REF!</v>
      </c>
      <c r="GV29" t="e">
        <f>AND('Listado General'!#REF!,"AAAAAH0ut8s=")</f>
        <v>#REF!</v>
      </c>
      <c r="GW29" t="e">
        <f>AND('Listado General'!#REF!,"AAAAAH0ut8w=")</f>
        <v>#REF!</v>
      </c>
      <c r="GX29" t="e">
        <f>AND('Listado General'!#REF!,"AAAAAH0ut80=")</f>
        <v>#REF!</v>
      </c>
      <c r="GY29" t="e">
        <f>AND('Listado General'!#REF!,"AAAAAH0ut84=")</f>
        <v>#REF!</v>
      </c>
      <c r="GZ29" t="e">
        <f>IF('Listado General'!#REF!,"AAAAAH0ut88=",0)</f>
        <v>#REF!</v>
      </c>
      <c r="HA29" t="e">
        <f>AND('Listado General'!#REF!,"AAAAAH0ut9A=")</f>
        <v>#REF!</v>
      </c>
      <c r="HB29" t="e">
        <f>AND('Listado General'!#REF!,"AAAAAH0ut9E=")</f>
        <v>#REF!</v>
      </c>
      <c r="HC29" t="e">
        <f>AND('Listado General'!#REF!,"AAAAAH0ut9I=")</f>
        <v>#REF!</v>
      </c>
      <c r="HD29" t="e">
        <f>AND('Listado General'!#REF!,"AAAAAH0ut9M=")</f>
        <v>#REF!</v>
      </c>
      <c r="HE29" t="e">
        <f>AND('Listado General'!#REF!,"AAAAAH0ut9Q=")</f>
        <v>#REF!</v>
      </c>
      <c r="HF29" t="e">
        <f>AND('Listado General'!#REF!,"AAAAAH0ut9U=")</f>
        <v>#REF!</v>
      </c>
      <c r="HG29" t="e">
        <f>AND('Listado General'!#REF!,"AAAAAH0ut9Y=")</f>
        <v>#REF!</v>
      </c>
      <c r="HH29" t="e">
        <f>AND('Listado General'!#REF!,"AAAAAH0ut9c=")</f>
        <v>#REF!</v>
      </c>
      <c r="HI29" t="e">
        <f>AND('Listado General'!#REF!,"AAAAAH0ut9g=")</f>
        <v>#REF!</v>
      </c>
      <c r="HJ29" t="e">
        <f>IF('Listado General'!#REF!,"AAAAAH0ut9k=",0)</f>
        <v>#REF!</v>
      </c>
      <c r="HK29" t="e">
        <f>AND('Listado General'!#REF!,"AAAAAH0ut9o=")</f>
        <v>#REF!</v>
      </c>
      <c r="HL29" t="e">
        <f>AND('Listado General'!#REF!,"AAAAAH0ut9s=")</f>
        <v>#REF!</v>
      </c>
      <c r="HM29" t="e">
        <f>AND('Listado General'!#REF!,"AAAAAH0ut9w=")</f>
        <v>#REF!</v>
      </c>
      <c r="HN29" t="e">
        <f>AND('Listado General'!#REF!,"AAAAAH0ut90=")</f>
        <v>#REF!</v>
      </c>
      <c r="HO29" t="e">
        <f>AND('Listado General'!#REF!,"AAAAAH0ut94=")</f>
        <v>#REF!</v>
      </c>
      <c r="HP29" t="e">
        <f>AND('Listado General'!#REF!,"AAAAAH0ut98=")</f>
        <v>#REF!</v>
      </c>
      <c r="HQ29" t="e">
        <f>AND('Listado General'!#REF!,"AAAAAH0ut+A=")</f>
        <v>#REF!</v>
      </c>
      <c r="HR29" t="e">
        <f>AND('Listado General'!#REF!,"AAAAAH0ut+E=")</f>
        <v>#REF!</v>
      </c>
      <c r="HS29" t="e">
        <f>AND('Listado General'!#REF!,"AAAAAH0ut+I=")</f>
        <v>#REF!</v>
      </c>
      <c r="HT29" t="e">
        <f>IF('Listado General'!#REF!,"AAAAAH0ut+M=",0)</f>
        <v>#REF!</v>
      </c>
      <c r="HU29" t="e">
        <f>AND('Listado General'!#REF!,"AAAAAH0ut+Q=")</f>
        <v>#REF!</v>
      </c>
      <c r="HV29" t="e">
        <f>AND('Listado General'!#REF!,"AAAAAH0ut+U=")</f>
        <v>#REF!</v>
      </c>
      <c r="HW29" t="e">
        <f>AND('Listado General'!#REF!,"AAAAAH0ut+Y=")</f>
        <v>#REF!</v>
      </c>
      <c r="HX29" t="e">
        <f>AND('Listado General'!#REF!,"AAAAAH0ut+c=")</f>
        <v>#REF!</v>
      </c>
      <c r="HY29" t="e">
        <f>AND('Listado General'!#REF!,"AAAAAH0ut+g=")</f>
        <v>#REF!</v>
      </c>
      <c r="HZ29" t="e">
        <f>AND('Listado General'!#REF!,"AAAAAH0ut+k=")</f>
        <v>#REF!</v>
      </c>
      <c r="IA29" t="e">
        <f>AND('Listado General'!#REF!,"AAAAAH0ut+o=")</f>
        <v>#REF!</v>
      </c>
      <c r="IB29" t="e">
        <f>AND('Listado General'!#REF!,"AAAAAH0ut+s=")</f>
        <v>#REF!</v>
      </c>
      <c r="IC29" t="e">
        <f>AND('Listado General'!#REF!,"AAAAAH0ut+w=")</f>
        <v>#REF!</v>
      </c>
      <c r="ID29" t="e">
        <f>IF('Listado General'!#REF!,"AAAAAH0ut+0=",0)</f>
        <v>#REF!</v>
      </c>
      <c r="IE29" t="e">
        <f>AND('Listado General'!#REF!,"AAAAAH0ut+4=")</f>
        <v>#REF!</v>
      </c>
      <c r="IF29" t="e">
        <f>AND('Listado General'!#REF!,"AAAAAH0ut+8=")</f>
        <v>#REF!</v>
      </c>
      <c r="IG29" t="e">
        <f>AND('Listado General'!#REF!,"AAAAAH0ut/A=")</f>
        <v>#REF!</v>
      </c>
      <c r="IH29" t="e">
        <f>AND('Listado General'!#REF!,"AAAAAH0ut/E=")</f>
        <v>#REF!</v>
      </c>
      <c r="II29" t="e">
        <f>AND('Listado General'!#REF!,"AAAAAH0ut/I=")</f>
        <v>#REF!</v>
      </c>
      <c r="IJ29" t="e">
        <f>AND('Listado General'!#REF!,"AAAAAH0ut/M=")</f>
        <v>#REF!</v>
      </c>
      <c r="IK29" t="e">
        <f>AND('Listado General'!#REF!,"AAAAAH0ut/Q=")</f>
        <v>#REF!</v>
      </c>
      <c r="IL29" t="e">
        <f>AND('Listado General'!#REF!,"AAAAAH0ut/U=")</f>
        <v>#REF!</v>
      </c>
      <c r="IM29" t="e">
        <f>AND('Listado General'!#REF!,"AAAAAH0ut/Y=")</f>
        <v>#REF!</v>
      </c>
      <c r="IN29" t="e">
        <f>IF('Listado General'!#REF!,"AAAAAH0ut/c=",0)</f>
        <v>#REF!</v>
      </c>
      <c r="IO29" t="e">
        <f>AND('Listado General'!#REF!,"AAAAAH0ut/g=")</f>
        <v>#REF!</v>
      </c>
      <c r="IP29" t="e">
        <f>AND('Listado General'!#REF!,"AAAAAH0ut/k=")</f>
        <v>#REF!</v>
      </c>
      <c r="IQ29" t="e">
        <f>AND('Listado General'!#REF!,"AAAAAH0ut/o=")</f>
        <v>#REF!</v>
      </c>
      <c r="IR29" t="e">
        <f>AND('Listado General'!#REF!,"AAAAAH0ut/s=")</f>
        <v>#REF!</v>
      </c>
      <c r="IS29" t="e">
        <f>AND('Listado General'!#REF!,"AAAAAH0ut/w=")</f>
        <v>#REF!</v>
      </c>
      <c r="IT29" t="e">
        <f>AND('Listado General'!#REF!,"AAAAAH0ut/0=")</f>
        <v>#REF!</v>
      </c>
      <c r="IU29" t="e">
        <f>AND('Listado General'!#REF!,"AAAAAH0ut/4=")</f>
        <v>#REF!</v>
      </c>
      <c r="IV29" t="e">
        <f>AND('Listado General'!#REF!,"AAAAAH0ut/8=")</f>
        <v>#REF!</v>
      </c>
    </row>
    <row r="30" spans="1:256" ht="12.75">
      <c r="A30" t="e">
        <f>AND('Listado General'!#REF!,"AAAAAHv/fgA=")</f>
        <v>#REF!</v>
      </c>
      <c r="B30" t="e">
        <f>IF('Listado General'!#REF!,"AAAAAHv/fgE=",0)</f>
        <v>#REF!</v>
      </c>
      <c r="C30" t="e">
        <f>AND('Listado General'!#REF!,"AAAAAHv/fgI=")</f>
        <v>#REF!</v>
      </c>
      <c r="D30" t="e">
        <f>AND('Listado General'!#REF!,"AAAAAHv/fgM=")</f>
        <v>#REF!</v>
      </c>
      <c r="E30" t="e">
        <f>AND('Listado General'!#REF!,"AAAAAHv/fgQ=")</f>
        <v>#REF!</v>
      </c>
      <c r="F30" t="e">
        <f>AND('Listado General'!#REF!,"AAAAAHv/fgU=")</f>
        <v>#REF!</v>
      </c>
      <c r="G30" t="e">
        <f>AND('Listado General'!#REF!,"AAAAAHv/fgY=")</f>
        <v>#REF!</v>
      </c>
      <c r="H30" t="e">
        <f>AND('Listado General'!#REF!,"AAAAAHv/fgc=")</f>
        <v>#REF!</v>
      </c>
      <c r="I30" t="e">
        <f>AND('Listado General'!#REF!,"AAAAAHv/fgg=")</f>
        <v>#REF!</v>
      </c>
      <c r="J30" t="e">
        <f>AND('Listado General'!#REF!,"AAAAAHv/fgk=")</f>
        <v>#REF!</v>
      </c>
      <c r="K30" t="e">
        <f>AND('Listado General'!#REF!,"AAAAAHv/fgo=")</f>
        <v>#REF!</v>
      </c>
      <c r="L30" t="e">
        <f>IF('Listado General'!#REF!,"AAAAAHv/fgs=",0)</f>
        <v>#REF!</v>
      </c>
      <c r="M30" t="e">
        <f>AND('Listado General'!#REF!,"AAAAAHv/fgw=")</f>
        <v>#REF!</v>
      </c>
      <c r="N30" t="e">
        <f>AND('Listado General'!#REF!,"AAAAAHv/fg0=")</f>
        <v>#REF!</v>
      </c>
      <c r="O30" t="e">
        <f>AND('Listado General'!#REF!,"AAAAAHv/fg4=")</f>
        <v>#REF!</v>
      </c>
      <c r="P30" t="e">
        <f>AND('Listado General'!#REF!,"AAAAAHv/fg8=")</f>
        <v>#REF!</v>
      </c>
      <c r="Q30" t="e">
        <f>AND('Listado General'!#REF!,"AAAAAHv/fhA=")</f>
        <v>#REF!</v>
      </c>
      <c r="R30" t="e">
        <f>AND('Listado General'!#REF!,"AAAAAHv/fhE=")</f>
        <v>#REF!</v>
      </c>
      <c r="S30" t="e">
        <f>AND('Listado General'!#REF!,"AAAAAHv/fhI=")</f>
        <v>#REF!</v>
      </c>
      <c r="T30" t="e">
        <f>AND('Listado General'!#REF!,"AAAAAHv/fhM=")</f>
        <v>#REF!</v>
      </c>
      <c r="U30" t="e">
        <f>AND('Listado General'!#REF!,"AAAAAHv/fhQ=")</f>
        <v>#REF!</v>
      </c>
      <c r="V30" t="e">
        <f>IF('Listado General'!#REF!,"AAAAAHv/fhU=",0)</f>
        <v>#REF!</v>
      </c>
      <c r="W30" t="e">
        <f>AND('Listado General'!#REF!,"AAAAAHv/fhY=")</f>
        <v>#REF!</v>
      </c>
      <c r="X30" t="e">
        <f>AND('Listado General'!#REF!,"AAAAAHv/fhc=")</f>
        <v>#REF!</v>
      </c>
      <c r="Y30" t="e">
        <f>AND('Listado General'!#REF!,"AAAAAHv/fhg=")</f>
        <v>#REF!</v>
      </c>
      <c r="Z30" t="e">
        <f>AND('Listado General'!#REF!,"AAAAAHv/fhk=")</f>
        <v>#REF!</v>
      </c>
      <c r="AA30" t="e">
        <f>AND('Listado General'!#REF!,"AAAAAHv/fho=")</f>
        <v>#REF!</v>
      </c>
      <c r="AB30" t="e">
        <f>AND('Listado General'!#REF!,"AAAAAHv/fhs=")</f>
        <v>#REF!</v>
      </c>
      <c r="AC30" t="e">
        <f>AND('Listado General'!#REF!,"AAAAAHv/fhw=")</f>
        <v>#REF!</v>
      </c>
      <c r="AD30" t="e">
        <f>AND('Listado General'!#REF!,"AAAAAHv/fh0=")</f>
        <v>#REF!</v>
      </c>
      <c r="AE30" t="e">
        <f>AND('Listado General'!#REF!,"AAAAAHv/fh4=")</f>
        <v>#REF!</v>
      </c>
      <c r="AF30" t="e">
        <f>IF('Listado General'!#REF!,"AAAAAHv/fh8=",0)</f>
        <v>#REF!</v>
      </c>
      <c r="AG30" t="e">
        <f>AND('Listado General'!#REF!,"AAAAAHv/fiA=")</f>
        <v>#REF!</v>
      </c>
      <c r="AH30" t="e">
        <f>AND('Listado General'!#REF!,"AAAAAHv/fiE=")</f>
        <v>#REF!</v>
      </c>
      <c r="AI30" t="e">
        <f>AND('Listado General'!#REF!,"AAAAAHv/fiI=")</f>
        <v>#REF!</v>
      </c>
      <c r="AJ30" t="e">
        <f>AND('Listado General'!#REF!,"AAAAAHv/fiM=")</f>
        <v>#REF!</v>
      </c>
      <c r="AK30" t="e">
        <f>AND('Listado General'!#REF!,"AAAAAHv/fiQ=")</f>
        <v>#REF!</v>
      </c>
      <c r="AL30" t="e">
        <f>AND('Listado General'!#REF!,"AAAAAHv/fiU=")</f>
        <v>#REF!</v>
      </c>
      <c r="AM30" t="e">
        <f>AND('Listado General'!#REF!,"AAAAAHv/fiY=")</f>
        <v>#REF!</v>
      </c>
      <c r="AN30" t="e">
        <f>AND('Listado General'!#REF!,"AAAAAHv/fic=")</f>
        <v>#REF!</v>
      </c>
      <c r="AO30" t="e">
        <f>AND('Listado General'!#REF!,"AAAAAHv/fig=")</f>
        <v>#REF!</v>
      </c>
      <c r="AP30" t="e">
        <f>IF('Listado General'!#REF!,"AAAAAHv/fik=",0)</f>
        <v>#REF!</v>
      </c>
      <c r="AQ30" t="e">
        <f>AND('Listado General'!#REF!,"AAAAAHv/fio=")</f>
        <v>#REF!</v>
      </c>
      <c r="AR30" t="e">
        <f>AND('Listado General'!#REF!,"AAAAAHv/fis=")</f>
        <v>#REF!</v>
      </c>
      <c r="AS30" t="e">
        <f>AND('Listado General'!#REF!,"AAAAAHv/fiw=")</f>
        <v>#REF!</v>
      </c>
      <c r="AT30" t="e">
        <f>AND('Listado General'!#REF!,"AAAAAHv/fi0=")</f>
        <v>#REF!</v>
      </c>
      <c r="AU30" t="e">
        <f>AND('Listado General'!#REF!,"AAAAAHv/fi4=")</f>
        <v>#REF!</v>
      </c>
      <c r="AV30" t="e">
        <f>AND('Listado General'!#REF!,"AAAAAHv/fi8=")</f>
        <v>#REF!</v>
      </c>
      <c r="AW30" t="e">
        <f>AND('Listado General'!#REF!,"AAAAAHv/fjA=")</f>
        <v>#REF!</v>
      </c>
      <c r="AX30" t="e">
        <f>AND('Listado General'!#REF!,"AAAAAHv/fjE=")</f>
        <v>#REF!</v>
      </c>
      <c r="AY30" t="e">
        <f>AND('Listado General'!#REF!,"AAAAAHv/fjI=")</f>
        <v>#REF!</v>
      </c>
      <c r="AZ30" t="e">
        <f>IF('Listado General'!#REF!,"AAAAAHv/fjM=",0)</f>
        <v>#REF!</v>
      </c>
      <c r="BA30" t="e">
        <f>AND('Listado General'!#REF!,"AAAAAHv/fjQ=")</f>
        <v>#REF!</v>
      </c>
      <c r="BB30" t="e">
        <f>AND('Listado General'!#REF!,"AAAAAHv/fjU=")</f>
        <v>#REF!</v>
      </c>
      <c r="BC30" t="e">
        <f>AND('Listado General'!#REF!,"AAAAAHv/fjY=")</f>
        <v>#REF!</v>
      </c>
      <c r="BD30" t="e">
        <f>AND('Listado General'!#REF!,"AAAAAHv/fjc=")</f>
        <v>#REF!</v>
      </c>
      <c r="BE30" t="e">
        <f>AND('Listado General'!#REF!,"AAAAAHv/fjg=")</f>
        <v>#REF!</v>
      </c>
      <c r="BF30" t="e">
        <f>AND('Listado General'!#REF!,"AAAAAHv/fjk=")</f>
        <v>#REF!</v>
      </c>
      <c r="BG30" t="e">
        <f>AND('Listado General'!#REF!,"AAAAAHv/fjo=")</f>
        <v>#REF!</v>
      </c>
      <c r="BH30" t="e">
        <f>AND('Listado General'!#REF!,"AAAAAHv/fjs=")</f>
        <v>#REF!</v>
      </c>
      <c r="BI30" t="e">
        <f>AND('Listado General'!#REF!,"AAAAAHv/fjw=")</f>
        <v>#REF!</v>
      </c>
      <c r="BJ30" t="e">
        <f>IF('Listado General'!#REF!,"AAAAAHv/fj0=",0)</f>
        <v>#REF!</v>
      </c>
      <c r="BK30" t="e">
        <f>AND('Listado General'!#REF!,"AAAAAHv/fj4=")</f>
        <v>#REF!</v>
      </c>
      <c r="BL30" t="e">
        <f>AND('Listado General'!#REF!,"AAAAAHv/fj8=")</f>
        <v>#REF!</v>
      </c>
      <c r="BM30" t="e">
        <f>AND('Listado General'!#REF!,"AAAAAHv/fkA=")</f>
        <v>#REF!</v>
      </c>
      <c r="BN30" t="e">
        <f>AND('Listado General'!#REF!,"AAAAAHv/fkE=")</f>
        <v>#REF!</v>
      </c>
      <c r="BO30" t="e">
        <f>AND('Listado General'!#REF!,"AAAAAHv/fkI=")</f>
        <v>#REF!</v>
      </c>
      <c r="BP30" t="e">
        <f>AND('Listado General'!#REF!,"AAAAAHv/fkM=")</f>
        <v>#REF!</v>
      </c>
      <c r="BQ30" t="e">
        <f>AND('Listado General'!#REF!,"AAAAAHv/fkQ=")</f>
        <v>#REF!</v>
      </c>
      <c r="BR30" t="e">
        <f>AND('Listado General'!#REF!,"AAAAAHv/fkU=")</f>
        <v>#REF!</v>
      </c>
      <c r="BS30" t="e">
        <f>AND('Listado General'!#REF!,"AAAAAHv/fkY=")</f>
        <v>#REF!</v>
      </c>
      <c r="BT30" t="e">
        <f>IF('Listado General'!#REF!,"AAAAAHv/fkc=",0)</f>
        <v>#REF!</v>
      </c>
      <c r="BU30" t="e">
        <f>AND('Listado General'!#REF!,"AAAAAHv/fkg=")</f>
        <v>#REF!</v>
      </c>
      <c r="BV30" t="e">
        <f>AND('Listado General'!#REF!,"AAAAAHv/fkk=")</f>
        <v>#REF!</v>
      </c>
      <c r="BW30" t="e">
        <f>AND('Listado General'!#REF!,"AAAAAHv/fko=")</f>
        <v>#REF!</v>
      </c>
      <c r="BX30" t="e">
        <f>AND('Listado General'!#REF!,"AAAAAHv/fks=")</f>
        <v>#REF!</v>
      </c>
      <c r="BY30" t="e">
        <f>AND('Listado General'!#REF!,"AAAAAHv/fkw=")</f>
        <v>#REF!</v>
      </c>
      <c r="BZ30" t="e">
        <f>AND('Listado General'!#REF!,"AAAAAHv/fk0=")</f>
        <v>#REF!</v>
      </c>
      <c r="CA30" t="e">
        <f>AND('Listado General'!#REF!,"AAAAAHv/fk4=")</f>
        <v>#REF!</v>
      </c>
      <c r="CB30" t="e">
        <f>AND('Listado General'!#REF!,"AAAAAHv/fk8=")</f>
        <v>#REF!</v>
      </c>
      <c r="CC30" t="e">
        <f>AND('Listado General'!#REF!,"AAAAAHv/flA=")</f>
        <v>#REF!</v>
      </c>
      <c r="CD30" t="e">
        <f>IF('Listado General'!#REF!,"AAAAAHv/flE=",0)</f>
        <v>#REF!</v>
      </c>
      <c r="CE30" t="e">
        <f>AND('Listado General'!#REF!,"AAAAAHv/flI=")</f>
        <v>#REF!</v>
      </c>
      <c r="CF30" t="e">
        <f>AND('Listado General'!#REF!,"AAAAAHv/flM=")</f>
        <v>#REF!</v>
      </c>
      <c r="CG30" t="e">
        <f>AND('Listado General'!#REF!,"AAAAAHv/flQ=")</f>
        <v>#REF!</v>
      </c>
      <c r="CH30" t="e">
        <f>AND('Listado General'!#REF!,"AAAAAHv/flU=")</f>
        <v>#REF!</v>
      </c>
      <c r="CI30" t="e">
        <f>AND('Listado General'!#REF!,"AAAAAHv/flY=")</f>
        <v>#REF!</v>
      </c>
      <c r="CJ30" t="e">
        <f>AND('Listado General'!#REF!,"AAAAAHv/flc=")</f>
        <v>#REF!</v>
      </c>
      <c r="CK30" t="e">
        <f>AND('Listado General'!#REF!,"AAAAAHv/flg=")</f>
        <v>#REF!</v>
      </c>
      <c r="CL30" t="e">
        <f>AND('Listado General'!#REF!,"AAAAAHv/flk=")</f>
        <v>#REF!</v>
      </c>
      <c r="CM30" t="e">
        <f>AND('Listado General'!#REF!,"AAAAAHv/flo=")</f>
        <v>#REF!</v>
      </c>
      <c r="CN30" t="e">
        <f>IF('Listado General'!#REF!,"AAAAAHv/fls=",0)</f>
        <v>#REF!</v>
      </c>
      <c r="CO30" t="e">
        <f>AND('Listado General'!#REF!,"AAAAAHv/flw=")</f>
        <v>#REF!</v>
      </c>
      <c r="CP30" t="e">
        <f>AND('Listado General'!#REF!,"AAAAAHv/fl0=")</f>
        <v>#REF!</v>
      </c>
      <c r="CQ30" t="e">
        <f>AND('Listado General'!#REF!,"AAAAAHv/fl4=")</f>
        <v>#REF!</v>
      </c>
      <c r="CR30" t="e">
        <f>AND('Listado General'!#REF!,"AAAAAHv/fl8=")</f>
        <v>#REF!</v>
      </c>
      <c r="CS30" t="e">
        <f>AND('Listado General'!#REF!,"AAAAAHv/fmA=")</f>
        <v>#REF!</v>
      </c>
      <c r="CT30" t="e">
        <f>AND('Listado General'!#REF!,"AAAAAHv/fmE=")</f>
        <v>#REF!</v>
      </c>
      <c r="CU30" t="e">
        <f>AND('Listado General'!#REF!,"AAAAAHv/fmI=")</f>
        <v>#REF!</v>
      </c>
      <c r="CV30" t="e">
        <f>AND('Listado General'!#REF!,"AAAAAHv/fmM=")</f>
        <v>#REF!</v>
      </c>
      <c r="CW30" t="e">
        <f>AND('Listado General'!#REF!,"AAAAAHv/fmQ=")</f>
        <v>#REF!</v>
      </c>
      <c r="CX30" t="e">
        <f>IF('Listado General'!#REF!,"AAAAAHv/fmU=",0)</f>
        <v>#REF!</v>
      </c>
      <c r="CY30" t="e">
        <f>AND('Listado General'!#REF!,"AAAAAHv/fmY=")</f>
        <v>#REF!</v>
      </c>
      <c r="CZ30" t="e">
        <f>AND('Listado General'!#REF!,"AAAAAHv/fmc=")</f>
        <v>#REF!</v>
      </c>
      <c r="DA30" t="e">
        <f>AND('Listado General'!#REF!,"AAAAAHv/fmg=")</f>
        <v>#REF!</v>
      </c>
      <c r="DB30" t="e">
        <f>AND('Listado General'!#REF!,"AAAAAHv/fmk=")</f>
        <v>#REF!</v>
      </c>
      <c r="DC30" t="e">
        <f>AND('Listado General'!#REF!,"AAAAAHv/fmo=")</f>
        <v>#REF!</v>
      </c>
      <c r="DD30" t="e">
        <f>AND('Listado General'!#REF!,"AAAAAHv/fms=")</f>
        <v>#REF!</v>
      </c>
      <c r="DE30" t="e">
        <f>AND('Listado General'!#REF!,"AAAAAHv/fmw=")</f>
        <v>#REF!</v>
      </c>
      <c r="DF30" t="e">
        <f>AND('Listado General'!#REF!,"AAAAAHv/fm0=")</f>
        <v>#REF!</v>
      </c>
      <c r="DG30" t="e">
        <f>AND('Listado General'!#REF!,"AAAAAHv/fm4=")</f>
        <v>#REF!</v>
      </c>
      <c r="DH30" t="e">
        <f>IF('Listado General'!#REF!,"AAAAAHv/fm8=",0)</f>
        <v>#REF!</v>
      </c>
      <c r="DI30" t="e">
        <f>AND('Listado General'!#REF!,"AAAAAHv/fnA=")</f>
        <v>#REF!</v>
      </c>
      <c r="DJ30" t="e">
        <f>AND('Listado General'!#REF!,"AAAAAHv/fnE=")</f>
        <v>#REF!</v>
      </c>
      <c r="DK30" t="e">
        <f>AND('Listado General'!#REF!,"AAAAAHv/fnI=")</f>
        <v>#REF!</v>
      </c>
      <c r="DL30" t="e">
        <f>AND('Listado General'!#REF!,"AAAAAHv/fnM=")</f>
        <v>#REF!</v>
      </c>
      <c r="DM30" t="e">
        <f>AND('Listado General'!#REF!,"AAAAAHv/fnQ=")</f>
        <v>#REF!</v>
      </c>
      <c r="DN30" t="e">
        <f>AND('Listado General'!#REF!,"AAAAAHv/fnU=")</f>
        <v>#REF!</v>
      </c>
      <c r="DO30" t="e">
        <f>AND('Listado General'!#REF!,"AAAAAHv/fnY=")</f>
        <v>#REF!</v>
      </c>
      <c r="DP30" t="e">
        <f>AND('Listado General'!#REF!,"AAAAAHv/fnc=")</f>
        <v>#REF!</v>
      </c>
      <c r="DQ30" t="e">
        <f>AND('Listado General'!#REF!,"AAAAAHv/fng=")</f>
        <v>#REF!</v>
      </c>
      <c r="DR30" t="e">
        <f>IF('Listado General'!#REF!,"AAAAAHv/fnk=",0)</f>
        <v>#REF!</v>
      </c>
      <c r="DS30" t="e">
        <f>AND('Listado General'!#REF!,"AAAAAHv/fno=")</f>
        <v>#REF!</v>
      </c>
      <c r="DT30" t="e">
        <f>AND('Listado General'!#REF!,"AAAAAHv/fns=")</f>
        <v>#REF!</v>
      </c>
      <c r="DU30" t="e">
        <f>AND('Listado General'!#REF!,"AAAAAHv/fnw=")</f>
        <v>#REF!</v>
      </c>
      <c r="DV30" t="e">
        <f>AND('Listado General'!#REF!,"AAAAAHv/fn0=")</f>
        <v>#REF!</v>
      </c>
      <c r="DW30" t="e">
        <f>AND('Listado General'!#REF!,"AAAAAHv/fn4=")</f>
        <v>#REF!</v>
      </c>
      <c r="DX30" t="e">
        <f>AND('Listado General'!#REF!,"AAAAAHv/fn8=")</f>
        <v>#REF!</v>
      </c>
      <c r="DY30" t="e">
        <f>AND('Listado General'!#REF!,"AAAAAHv/foA=")</f>
        <v>#REF!</v>
      </c>
      <c r="DZ30" t="e">
        <f>AND('Listado General'!#REF!,"AAAAAHv/foE=")</f>
        <v>#REF!</v>
      </c>
      <c r="EA30" t="e">
        <f>AND('Listado General'!#REF!,"AAAAAHv/foI=")</f>
        <v>#REF!</v>
      </c>
      <c r="EB30" t="e">
        <f>IF('Listado General'!#REF!,"AAAAAHv/foM=",0)</f>
        <v>#REF!</v>
      </c>
      <c r="EC30" t="e">
        <f>AND('Listado General'!#REF!,"AAAAAHv/foQ=")</f>
        <v>#REF!</v>
      </c>
      <c r="ED30" t="e">
        <f>AND('Listado General'!#REF!,"AAAAAHv/foU=")</f>
        <v>#REF!</v>
      </c>
      <c r="EE30" t="e">
        <f>AND('Listado General'!#REF!,"AAAAAHv/foY=")</f>
        <v>#REF!</v>
      </c>
      <c r="EF30" t="e">
        <f>AND('Listado General'!#REF!,"AAAAAHv/foc=")</f>
        <v>#REF!</v>
      </c>
      <c r="EG30" t="e">
        <f>AND('Listado General'!#REF!,"AAAAAHv/fog=")</f>
        <v>#REF!</v>
      </c>
      <c r="EH30" t="e">
        <f>AND('Listado General'!#REF!,"AAAAAHv/fok=")</f>
        <v>#REF!</v>
      </c>
      <c r="EI30" t="e">
        <f>AND('Listado General'!#REF!,"AAAAAHv/foo=")</f>
        <v>#REF!</v>
      </c>
      <c r="EJ30" t="e">
        <f>AND('Listado General'!#REF!,"AAAAAHv/fos=")</f>
        <v>#REF!</v>
      </c>
      <c r="EK30" t="e">
        <f>AND('Listado General'!#REF!,"AAAAAHv/fow=")</f>
        <v>#REF!</v>
      </c>
      <c r="EL30" t="e">
        <f>IF('Listado General'!#REF!,"AAAAAHv/fo0=",0)</f>
        <v>#REF!</v>
      </c>
      <c r="EM30" t="e">
        <f>AND('Listado General'!#REF!,"AAAAAHv/fo4=")</f>
        <v>#REF!</v>
      </c>
      <c r="EN30" t="e">
        <f>AND('Listado General'!#REF!,"AAAAAHv/fo8=")</f>
        <v>#REF!</v>
      </c>
      <c r="EO30" t="e">
        <f>AND('Listado General'!#REF!,"AAAAAHv/fpA=")</f>
        <v>#REF!</v>
      </c>
      <c r="EP30" t="e">
        <f>AND('Listado General'!#REF!,"AAAAAHv/fpE=")</f>
        <v>#REF!</v>
      </c>
      <c r="EQ30" t="e">
        <f>AND('Listado General'!#REF!,"AAAAAHv/fpI=")</f>
        <v>#REF!</v>
      </c>
      <c r="ER30" t="e">
        <f>AND('Listado General'!#REF!,"AAAAAHv/fpM=")</f>
        <v>#REF!</v>
      </c>
      <c r="ES30" t="e">
        <f>AND('Listado General'!#REF!,"AAAAAHv/fpQ=")</f>
        <v>#REF!</v>
      </c>
      <c r="ET30" t="e">
        <f>AND('Listado General'!#REF!,"AAAAAHv/fpU=")</f>
        <v>#REF!</v>
      </c>
      <c r="EU30" t="e">
        <f>AND('Listado General'!#REF!,"AAAAAHv/fpY=")</f>
        <v>#REF!</v>
      </c>
      <c r="EV30" t="e">
        <f>IF('Listado General'!#REF!,"AAAAAHv/fpc=",0)</f>
        <v>#REF!</v>
      </c>
      <c r="EW30" t="e">
        <f>AND('Listado General'!#REF!,"AAAAAHv/fpg=")</f>
        <v>#REF!</v>
      </c>
      <c r="EX30" t="e">
        <f>AND('Listado General'!#REF!,"AAAAAHv/fpk=")</f>
        <v>#REF!</v>
      </c>
      <c r="EY30" t="e">
        <f>AND('Listado General'!#REF!,"AAAAAHv/fpo=")</f>
        <v>#REF!</v>
      </c>
      <c r="EZ30" t="e">
        <f>AND('Listado General'!#REF!,"AAAAAHv/fps=")</f>
        <v>#REF!</v>
      </c>
      <c r="FA30" t="e">
        <f>AND('Listado General'!#REF!,"AAAAAHv/fpw=")</f>
        <v>#REF!</v>
      </c>
      <c r="FB30" t="e">
        <f>AND('Listado General'!#REF!,"AAAAAHv/fp0=")</f>
        <v>#REF!</v>
      </c>
      <c r="FC30" t="e">
        <f>AND('Listado General'!#REF!,"AAAAAHv/fp4=")</f>
        <v>#REF!</v>
      </c>
      <c r="FD30" t="e">
        <f>AND('Listado General'!#REF!,"AAAAAHv/fp8=")</f>
        <v>#REF!</v>
      </c>
      <c r="FE30" t="e">
        <f>AND('Listado General'!#REF!,"AAAAAHv/fqA=")</f>
        <v>#REF!</v>
      </c>
      <c r="FF30" t="e">
        <f>IF('Listado General'!#REF!,"AAAAAHv/fqE=",0)</f>
        <v>#REF!</v>
      </c>
      <c r="FG30" t="e">
        <f>AND('Listado General'!#REF!,"AAAAAHv/fqI=")</f>
        <v>#REF!</v>
      </c>
      <c r="FH30" t="e">
        <f>AND('Listado General'!#REF!,"AAAAAHv/fqM=")</f>
        <v>#REF!</v>
      </c>
      <c r="FI30" t="e">
        <f>AND('Listado General'!#REF!,"AAAAAHv/fqQ=")</f>
        <v>#REF!</v>
      </c>
      <c r="FJ30" t="e">
        <f>AND('Listado General'!#REF!,"AAAAAHv/fqU=")</f>
        <v>#REF!</v>
      </c>
      <c r="FK30" t="e">
        <f>AND('Listado General'!#REF!,"AAAAAHv/fqY=")</f>
        <v>#REF!</v>
      </c>
      <c r="FL30" t="e">
        <f>AND('Listado General'!#REF!,"AAAAAHv/fqc=")</f>
        <v>#REF!</v>
      </c>
      <c r="FM30" t="e">
        <f>AND('Listado General'!#REF!,"AAAAAHv/fqg=")</f>
        <v>#REF!</v>
      </c>
      <c r="FN30" t="e">
        <f>AND('Listado General'!#REF!,"AAAAAHv/fqk=")</f>
        <v>#REF!</v>
      </c>
      <c r="FO30" t="e">
        <f>AND('Listado General'!#REF!,"AAAAAHv/fqo=")</f>
        <v>#REF!</v>
      </c>
      <c r="FP30" t="e">
        <f>IF('Listado General'!#REF!,"AAAAAHv/fqs=",0)</f>
        <v>#REF!</v>
      </c>
      <c r="FQ30" t="e">
        <f>AND('Listado General'!#REF!,"AAAAAHv/fqw=")</f>
        <v>#REF!</v>
      </c>
      <c r="FR30" t="e">
        <f>AND('Listado General'!#REF!,"AAAAAHv/fq0=")</f>
        <v>#REF!</v>
      </c>
      <c r="FS30" t="e">
        <f>AND('Listado General'!#REF!,"AAAAAHv/fq4=")</f>
        <v>#REF!</v>
      </c>
      <c r="FT30" t="e">
        <f>AND('Listado General'!#REF!,"AAAAAHv/fq8=")</f>
        <v>#REF!</v>
      </c>
      <c r="FU30" t="e">
        <f>AND('Listado General'!#REF!,"AAAAAHv/frA=")</f>
        <v>#REF!</v>
      </c>
      <c r="FV30" t="e">
        <f>AND('Listado General'!#REF!,"AAAAAHv/frE=")</f>
        <v>#REF!</v>
      </c>
      <c r="FW30" t="e">
        <f>AND('Listado General'!#REF!,"AAAAAHv/frI=")</f>
        <v>#REF!</v>
      </c>
      <c r="FX30" t="e">
        <f>AND('Listado General'!#REF!,"AAAAAHv/frM=")</f>
        <v>#REF!</v>
      </c>
      <c r="FY30" t="e">
        <f>AND('Listado General'!#REF!,"AAAAAHv/frQ=")</f>
        <v>#REF!</v>
      </c>
      <c r="FZ30" t="e">
        <f>IF('Listado General'!#REF!,"AAAAAHv/frU=",0)</f>
        <v>#REF!</v>
      </c>
      <c r="GA30" t="e">
        <f>AND('Listado General'!#REF!,"AAAAAHv/frY=")</f>
        <v>#REF!</v>
      </c>
      <c r="GB30" t="e">
        <f>AND('Listado General'!#REF!,"AAAAAHv/frc=")</f>
        <v>#REF!</v>
      </c>
      <c r="GC30" t="e">
        <f>AND('Listado General'!#REF!,"AAAAAHv/frg=")</f>
        <v>#REF!</v>
      </c>
      <c r="GD30" t="e">
        <f>AND('Listado General'!#REF!,"AAAAAHv/frk=")</f>
        <v>#REF!</v>
      </c>
      <c r="GE30" t="e">
        <f>AND('Listado General'!#REF!,"AAAAAHv/fro=")</f>
        <v>#REF!</v>
      </c>
      <c r="GF30" t="e">
        <f>AND('Listado General'!#REF!,"AAAAAHv/frs=")</f>
        <v>#REF!</v>
      </c>
      <c r="GG30" t="e">
        <f>AND('Listado General'!#REF!,"AAAAAHv/frw=")</f>
        <v>#REF!</v>
      </c>
      <c r="GH30" t="e">
        <f>AND('Listado General'!#REF!,"AAAAAHv/fr0=")</f>
        <v>#REF!</v>
      </c>
      <c r="GI30" t="e">
        <f>AND('Listado General'!#REF!,"AAAAAHv/fr4=")</f>
        <v>#REF!</v>
      </c>
      <c r="GJ30" t="e">
        <f>IF('Listado General'!#REF!,"AAAAAHv/fr8=",0)</f>
        <v>#REF!</v>
      </c>
      <c r="GK30" t="e">
        <f>AND('Listado General'!#REF!,"AAAAAHv/fsA=")</f>
        <v>#REF!</v>
      </c>
      <c r="GL30" t="e">
        <f>AND('Listado General'!#REF!,"AAAAAHv/fsE=")</f>
        <v>#REF!</v>
      </c>
      <c r="GM30" t="e">
        <f>AND('Listado General'!#REF!,"AAAAAHv/fsI=")</f>
        <v>#REF!</v>
      </c>
      <c r="GN30" t="e">
        <f>AND('Listado General'!#REF!,"AAAAAHv/fsM=")</f>
        <v>#REF!</v>
      </c>
      <c r="GO30" t="e">
        <f>AND('Listado General'!#REF!,"AAAAAHv/fsQ=")</f>
        <v>#REF!</v>
      </c>
      <c r="GP30" t="e">
        <f>AND('Listado General'!#REF!,"AAAAAHv/fsU=")</f>
        <v>#REF!</v>
      </c>
      <c r="GQ30" t="e">
        <f>AND('Listado General'!#REF!,"AAAAAHv/fsY=")</f>
        <v>#REF!</v>
      </c>
      <c r="GR30" t="e">
        <f>AND('Listado General'!#REF!,"AAAAAHv/fsc=")</f>
        <v>#REF!</v>
      </c>
      <c r="GS30" t="e">
        <f>AND('Listado General'!#REF!,"AAAAAHv/fsg=")</f>
        <v>#REF!</v>
      </c>
      <c r="GT30" t="e">
        <f>IF('Listado General'!#REF!,"AAAAAHv/fsk=",0)</f>
        <v>#REF!</v>
      </c>
      <c r="GU30" t="e">
        <f>AND('Listado General'!#REF!,"AAAAAHv/fso=")</f>
        <v>#REF!</v>
      </c>
      <c r="GV30" t="e">
        <f>AND('Listado General'!#REF!,"AAAAAHv/fss=")</f>
        <v>#REF!</v>
      </c>
      <c r="GW30" t="e">
        <f>AND('Listado General'!#REF!,"AAAAAHv/fsw=")</f>
        <v>#REF!</v>
      </c>
      <c r="GX30" t="e">
        <f>AND('Listado General'!#REF!,"AAAAAHv/fs0=")</f>
        <v>#REF!</v>
      </c>
      <c r="GY30" t="e">
        <f>AND('Listado General'!#REF!,"AAAAAHv/fs4=")</f>
        <v>#REF!</v>
      </c>
      <c r="GZ30" t="e">
        <f>AND('Listado General'!#REF!,"AAAAAHv/fs8=")</f>
        <v>#REF!</v>
      </c>
      <c r="HA30" t="e">
        <f>AND('Listado General'!#REF!,"AAAAAHv/ftA=")</f>
        <v>#REF!</v>
      </c>
      <c r="HB30" t="e">
        <f>AND('Listado General'!#REF!,"AAAAAHv/ftE=")</f>
        <v>#REF!</v>
      </c>
      <c r="HC30" t="e">
        <f>AND('Listado General'!#REF!,"AAAAAHv/ftI=")</f>
        <v>#REF!</v>
      </c>
      <c r="HD30" t="e">
        <f>IF('Listado General'!#REF!,"AAAAAHv/ftM=",0)</f>
        <v>#REF!</v>
      </c>
      <c r="HE30" t="e">
        <f>AND('Listado General'!#REF!,"AAAAAHv/ftQ=")</f>
        <v>#REF!</v>
      </c>
      <c r="HF30" t="e">
        <f>AND('Listado General'!#REF!,"AAAAAHv/ftU=")</f>
        <v>#REF!</v>
      </c>
      <c r="HG30" t="e">
        <f>AND('Listado General'!#REF!,"AAAAAHv/ftY=")</f>
        <v>#REF!</v>
      </c>
      <c r="HH30" t="e">
        <f>AND('Listado General'!#REF!,"AAAAAHv/ftc=")</f>
        <v>#REF!</v>
      </c>
      <c r="HI30" t="e">
        <f>AND('Listado General'!#REF!,"AAAAAHv/ftg=")</f>
        <v>#REF!</v>
      </c>
      <c r="HJ30" t="e">
        <f>AND('Listado General'!#REF!,"AAAAAHv/ftk=")</f>
        <v>#REF!</v>
      </c>
      <c r="HK30" t="e">
        <f>AND('Listado General'!#REF!,"AAAAAHv/fto=")</f>
        <v>#REF!</v>
      </c>
      <c r="HL30" t="e">
        <f>AND('Listado General'!#REF!,"AAAAAHv/fts=")</f>
        <v>#REF!</v>
      </c>
      <c r="HM30" t="e">
        <f>AND('Listado General'!#REF!,"AAAAAHv/ftw=")</f>
        <v>#REF!</v>
      </c>
      <c r="HN30" t="e">
        <f>IF('Listado General'!#REF!,"AAAAAHv/ft0=",0)</f>
        <v>#REF!</v>
      </c>
      <c r="HO30" t="e">
        <f>AND('Listado General'!#REF!,"AAAAAHv/ft4=")</f>
        <v>#REF!</v>
      </c>
      <c r="HP30" t="e">
        <f>AND('Listado General'!#REF!,"AAAAAHv/ft8=")</f>
        <v>#REF!</v>
      </c>
      <c r="HQ30" t="e">
        <f>AND('Listado General'!#REF!,"AAAAAHv/fuA=")</f>
        <v>#REF!</v>
      </c>
      <c r="HR30" t="e">
        <f>AND('Listado General'!#REF!,"AAAAAHv/fuE=")</f>
        <v>#REF!</v>
      </c>
      <c r="HS30" t="e">
        <f>AND('Listado General'!#REF!,"AAAAAHv/fuI=")</f>
        <v>#REF!</v>
      </c>
      <c r="HT30" t="e">
        <f>AND('Listado General'!#REF!,"AAAAAHv/fuM=")</f>
        <v>#REF!</v>
      </c>
      <c r="HU30" t="e">
        <f>AND('Listado General'!#REF!,"AAAAAHv/fuQ=")</f>
        <v>#REF!</v>
      </c>
      <c r="HV30" t="e">
        <f>AND('Listado General'!#REF!,"AAAAAHv/fuU=")</f>
        <v>#REF!</v>
      </c>
      <c r="HW30" t="e">
        <f>AND('Listado General'!#REF!,"AAAAAHv/fuY=")</f>
        <v>#REF!</v>
      </c>
      <c r="HX30" t="e">
        <f>IF('Listado General'!#REF!,"AAAAAHv/fuc=",0)</f>
        <v>#REF!</v>
      </c>
      <c r="HY30" t="e">
        <f>AND('Listado General'!#REF!,"AAAAAHv/fug=")</f>
        <v>#REF!</v>
      </c>
      <c r="HZ30" t="e">
        <f>AND('Listado General'!#REF!,"AAAAAHv/fuk=")</f>
        <v>#REF!</v>
      </c>
      <c r="IA30" t="e">
        <f>AND('Listado General'!#REF!,"AAAAAHv/fuo=")</f>
        <v>#REF!</v>
      </c>
      <c r="IB30" t="e">
        <f>AND('Listado General'!#REF!,"AAAAAHv/fus=")</f>
        <v>#REF!</v>
      </c>
      <c r="IC30" t="e">
        <f>AND('Listado General'!#REF!,"AAAAAHv/fuw=")</f>
        <v>#REF!</v>
      </c>
      <c r="ID30" t="e">
        <f>AND('Listado General'!#REF!,"AAAAAHv/fu0=")</f>
        <v>#REF!</v>
      </c>
      <c r="IE30" t="e">
        <f>AND('Listado General'!#REF!,"AAAAAHv/fu4=")</f>
        <v>#REF!</v>
      </c>
      <c r="IF30" t="e">
        <f>AND('Listado General'!#REF!,"AAAAAHv/fu8=")</f>
        <v>#REF!</v>
      </c>
      <c r="IG30" t="e">
        <f>AND('Listado General'!#REF!,"AAAAAHv/fvA=")</f>
        <v>#REF!</v>
      </c>
      <c r="IH30" t="e">
        <f>IF('Listado General'!#REF!,"AAAAAHv/fvE=",0)</f>
        <v>#REF!</v>
      </c>
      <c r="II30" t="e">
        <f>AND('Listado General'!#REF!,"AAAAAHv/fvI=")</f>
        <v>#REF!</v>
      </c>
      <c r="IJ30" t="e">
        <f>AND('Listado General'!#REF!,"AAAAAHv/fvM=")</f>
        <v>#REF!</v>
      </c>
      <c r="IK30" t="e">
        <f>AND('Listado General'!#REF!,"AAAAAHv/fvQ=")</f>
        <v>#REF!</v>
      </c>
      <c r="IL30" t="e">
        <f>AND('Listado General'!#REF!,"AAAAAHv/fvU=")</f>
        <v>#REF!</v>
      </c>
      <c r="IM30" t="e">
        <f>AND('Listado General'!#REF!,"AAAAAHv/fvY=")</f>
        <v>#REF!</v>
      </c>
      <c r="IN30" t="e">
        <f>AND('Listado General'!#REF!,"AAAAAHv/fvc=")</f>
        <v>#REF!</v>
      </c>
      <c r="IO30" t="e">
        <f>AND('Listado General'!#REF!,"AAAAAHv/fvg=")</f>
        <v>#REF!</v>
      </c>
      <c r="IP30" t="e">
        <f>AND('Listado General'!#REF!,"AAAAAHv/fvk=")</f>
        <v>#REF!</v>
      </c>
      <c r="IQ30" t="e">
        <f>AND('Listado General'!#REF!,"AAAAAHv/fvo=")</f>
        <v>#REF!</v>
      </c>
      <c r="IR30" t="e">
        <f>IF('Listado General'!#REF!,"AAAAAHv/fvs=",0)</f>
        <v>#REF!</v>
      </c>
      <c r="IS30" t="e">
        <f>AND('Listado General'!#REF!,"AAAAAHv/fvw=")</f>
        <v>#REF!</v>
      </c>
      <c r="IT30" t="e">
        <f>AND('Listado General'!#REF!,"AAAAAHv/fv0=")</f>
        <v>#REF!</v>
      </c>
      <c r="IU30" t="e">
        <f>AND('Listado General'!#REF!,"AAAAAHv/fv4=")</f>
        <v>#REF!</v>
      </c>
      <c r="IV30" t="e">
        <f>AND('Listado General'!#REF!,"AAAAAHv/fv8=")</f>
        <v>#REF!</v>
      </c>
    </row>
    <row r="31" spans="1:256" ht="12.75">
      <c r="A31" t="e">
        <f>AND('Listado General'!#REF!,"AAAAADfWzgA=")</f>
        <v>#REF!</v>
      </c>
      <c r="B31" t="e">
        <f>AND('Listado General'!#REF!,"AAAAADfWzgE=")</f>
        <v>#REF!</v>
      </c>
      <c r="C31" t="e">
        <f>AND('Listado General'!#REF!,"AAAAADfWzgI=")</f>
        <v>#REF!</v>
      </c>
      <c r="D31" t="e">
        <f>AND('Listado General'!#REF!,"AAAAADfWzgM=")</f>
        <v>#REF!</v>
      </c>
      <c r="E31" t="e">
        <f>AND('Listado General'!#REF!,"AAAAADfWzgQ=")</f>
        <v>#REF!</v>
      </c>
      <c r="F31" t="e">
        <f>IF('Listado General'!#REF!,"AAAAADfWzgU=",0)</f>
        <v>#REF!</v>
      </c>
      <c r="G31" t="e">
        <f>AND('Listado General'!#REF!,"AAAAADfWzgY=")</f>
        <v>#REF!</v>
      </c>
      <c r="H31" t="e">
        <f>AND('Listado General'!#REF!,"AAAAADfWzgc=")</f>
        <v>#REF!</v>
      </c>
      <c r="I31" t="e">
        <f>AND('Listado General'!#REF!,"AAAAADfWzgg=")</f>
        <v>#REF!</v>
      </c>
      <c r="J31" t="e">
        <f>AND('Listado General'!#REF!,"AAAAADfWzgk=")</f>
        <v>#REF!</v>
      </c>
      <c r="K31" t="e">
        <f>AND('Listado General'!#REF!,"AAAAADfWzgo=")</f>
        <v>#REF!</v>
      </c>
      <c r="L31" t="e">
        <f>AND('Listado General'!#REF!,"AAAAADfWzgs=")</f>
        <v>#REF!</v>
      </c>
      <c r="M31" t="e">
        <f>AND('Listado General'!#REF!,"AAAAADfWzgw=")</f>
        <v>#REF!</v>
      </c>
      <c r="N31" t="e">
        <f>AND('Listado General'!#REF!,"AAAAADfWzg0=")</f>
        <v>#REF!</v>
      </c>
      <c r="O31" t="e">
        <f>AND('Listado General'!#REF!,"AAAAADfWzg4=")</f>
        <v>#REF!</v>
      </c>
      <c r="P31" t="e">
        <f>IF('Listado General'!#REF!,"AAAAADfWzg8=",0)</f>
        <v>#REF!</v>
      </c>
      <c r="Q31" t="e">
        <f>AND('Listado General'!#REF!,"AAAAADfWzhA=")</f>
        <v>#REF!</v>
      </c>
      <c r="R31" t="e">
        <f>AND('Listado General'!#REF!,"AAAAADfWzhE=")</f>
        <v>#REF!</v>
      </c>
      <c r="S31" t="e">
        <f>AND('Listado General'!#REF!,"AAAAADfWzhI=")</f>
        <v>#REF!</v>
      </c>
      <c r="T31" t="e">
        <f>AND('Listado General'!#REF!,"AAAAADfWzhM=")</f>
        <v>#REF!</v>
      </c>
      <c r="U31" t="e">
        <f>AND('Listado General'!#REF!,"AAAAADfWzhQ=")</f>
        <v>#REF!</v>
      </c>
      <c r="V31" t="e">
        <f>AND('Listado General'!#REF!,"AAAAADfWzhU=")</f>
        <v>#REF!</v>
      </c>
      <c r="W31" t="e">
        <f>AND('Listado General'!#REF!,"AAAAADfWzhY=")</f>
        <v>#REF!</v>
      </c>
      <c r="X31" t="e">
        <f>AND('Listado General'!#REF!,"AAAAADfWzhc=")</f>
        <v>#REF!</v>
      </c>
      <c r="Y31" t="e">
        <f>AND('Listado General'!#REF!,"AAAAADfWzhg=")</f>
        <v>#REF!</v>
      </c>
      <c r="Z31" t="e">
        <f>IF('Listado General'!#REF!,"AAAAADfWzhk=",0)</f>
        <v>#REF!</v>
      </c>
      <c r="AA31" t="e">
        <f>AND('Listado General'!#REF!,"AAAAADfWzho=")</f>
        <v>#REF!</v>
      </c>
      <c r="AB31" t="e">
        <f>AND('Listado General'!#REF!,"AAAAADfWzhs=")</f>
        <v>#REF!</v>
      </c>
      <c r="AC31" t="e">
        <f>AND('Listado General'!#REF!,"AAAAADfWzhw=")</f>
        <v>#REF!</v>
      </c>
      <c r="AD31" t="e">
        <f>AND('Listado General'!#REF!,"AAAAADfWzh0=")</f>
        <v>#REF!</v>
      </c>
      <c r="AE31" t="e">
        <f>AND('Listado General'!#REF!,"AAAAADfWzh4=")</f>
        <v>#REF!</v>
      </c>
      <c r="AF31" t="e">
        <f>AND('Listado General'!#REF!,"AAAAADfWzh8=")</f>
        <v>#REF!</v>
      </c>
      <c r="AG31" t="e">
        <f>AND('Listado General'!#REF!,"AAAAADfWziA=")</f>
        <v>#REF!</v>
      </c>
      <c r="AH31" t="e">
        <f>AND('Listado General'!#REF!,"AAAAADfWziE=")</f>
        <v>#REF!</v>
      </c>
      <c r="AI31" t="e">
        <f>AND('Listado General'!#REF!,"AAAAADfWziI=")</f>
        <v>#REF!</v>
      </c>
      <c r="AJ31" t="e">
        <f>IF('Listado General'!#REF!,"AAAAADfWziM=",0)</f>
        <v>#REF!</v>
      </c>
      <c r="AK31" t="e">
        <f>AND('Listado General'!#REF!,"AAAAADfWziQ=")</f>
        <v>#REF!</v>
      </c>
      <c r="AL31" t="e">
        <f>AND('Listado General'!#REF!,"AAAAADfWziU=")</f>
        <v>#REF!</v>
      </c>
      <c r="AM31" t="e">
        <f>AND('Listado General'!#REF!,"AAAAADfWziY=")</f>
        <v>#REF!</v>
      </c>
      <c r="AN31" t="e">
        <f>AND('Listado General'!#REF!,"AAAAADfWzic=")</f>
        <v>#REF!</v>
      </c>
      <c r="AO31" t="e">
        <f>AND('Listado General'!#REF!,"AAAAADfWzig=")</f>
        <v>#REF!</v>
      </c>
      <c r="AP31" t="e">
        <f>AND('Listado General'!#REF!,"AAAAADfWzik=")</f>
        <v>#REF!</v>
      </c>
      <c r="AQ31" t="e">
        <f>AND('Listado General'!#REF!,"AAAAADfWzio=")</f>
        <v>#REF!</v>
      </c>
      <c r="AR31" t="e">
        <f>AND('Listado General'!#REF!,"AAAAADfWzis=")</f>
        <v>#REF!</v>
      </c>
      <c r="AS31" t="e">
        <f>AND('Listado General'!#REF!,"AAAAADfWziw=")</f>
        <v>#REF!</v>
      </c>
      <c r="AT31" t="e">
        <f>IF('Listado General'!#REF!,"AAAAADfWzi0=",0)</f>
        <v>#REF!</v>
      </c>
      <c r="AU31" t="e">
        <f>AND('Listado General'!#REF!,"AAAAADfWzi4=")</f>
        <v>#REF!</v>
      </c>
      <c r="AV31" t="e">
        <f>AND('Listado General'!#REF!,"AAAAADfWzi8=")</f>
        <v>#REF!</v>
      </c>
      <c r="AW31" t="e">
        <f>AND('Listado General'!#REF!,"AAAAADfWzjA=")</f>
        <v>#REF!</v>
      </c>
      <c r="AX31" t="e">
        <f>AND('Listado General'!#REF!,"AAAAADfWzjE=")</f>
        <v>#REF!</v>
      </c>
      <c r="AY31" t="e">
        <f>AND('Listado General'!#REF!,"AAAAADfWzjI=")</f>
        <v>#REF!</v>
      </c>
      <c r="AZ31" t="e">
        <f>AND('Listado General'!#REF!,"AAAAADfWzjM=")</f>
        <v>#REF!</v>
      </c>
      <c r="BA31" t="e">
        <f>AND('Listado General'!#REF!,"AAAAADfWzjQ=")</f>
        <v>#REF!</v>
      </c>
      <c r="BB31" t="e">
        <f>AND('Listado General'!#REF!,"AAAAADfWzjU=")</f>
        <v>#REF!</v>
      </c>
      <c r="BC31" t="e">
        <f>AND('Listado General'!#REF!,"AAAAADfWzjY=")</f>
        <v>#REF!</v>
      </c>
      <c r="BD31" t="e">
        <f>IF('Listado General'!#REF!,"AAAAADfWzjc=",0)</f>
        <v>#REF!</v>
      </c>
      <c r="BE31" t="e">
        <f>AND('Listado General'!#REF!,"AAAAADfWzjg=")</f>
        <v>#REF!</v>
      </c>
      <c r="BF31" t="e">
        <f>AND('Listado General'!#REF!,"AAAAADfWzjk=")</f>
        <v>#REF!</v>
      </c>
      <c r="BG31" t="e">
        <f>AND('Listado General'!#REF!,"AAAAADfWzjo=")</f>
        <v>#REF!</v>
      </c>
      <c r="BH31" t="e">
        <f>AND('Listado General'!#REF!,"AAAAADfWzjs=")</f>
        <v>#REF!</v>
      </c>
      <c r="BI31" t="e">
        <f>AND('Listado General'!#REF!,"AAAAADfWzjw=")</f>
        <v>#REF!</v>
      </c>
      <c r="BJ31" t="e">
        <f>AND('Listado General'!#REF!,"AAAAADfWzj0=")</f>
        <v>#REF!</v>
      </c>
      <c r="BK31" t="e">
        <f>AND('Listado General'!#REF!,"AAAAADfWzj4=")</f>
        <v>#REF!</v>
      </c>
      <c r="BL31" t="e">
        <f>AND('Listado General'!#REF!,"AAAAADfWzj8=")</f>
        <v>#REF!</v>
      </c>
      <c r="BM31" t="e">
        <f>AND('Listado General'!#REF!,"AAAAADfWzkA=")</f>
        <v>#REF!</v>
      </c>
      <c r="BN31" t="e">
        <f>IF('Listado General'!#REF!,"AAAAADfWzkE=",0)</f>
        <v>#REF!</v>
      </c>
      <c r="BO31" t="e">
        <f>AND('Listado General'!#REF!,"AAAAADfWzkI=")</f>
        <v>#REF!</v>
      </c>
      <c r="BP31" t="e">
        <f>AND('Listado General'!#REF!,"AAAAADfWzkM=")</f>
        <v>#REF!</v>
      </c>
      <c r="BQ31" t="e">
        <f>AND('Listado General'!#REF!,"AAAAADfWzkQ=")</f>
        <v>#REF!</v>
      </c>
      <c r="BR31" t="e">
        <f>AND('Listado General'!#REF!,"AAAAADfWzkU=")</f>
        <v>#REF!</v>
      </c>
      <c r="BS31" t="e">
        <f>AND('Listado General'!#REF!,"AAAAADfWzkY=")</f>
        <v>#REF!</v>
      </c>
      <c r="BT31" t="e">
        <f>AND('Listado General'!#REF!,"AAAAADfWzkc=")</f>
        <v>#REF!</v>
      </c>
      <c r="BU31" t="e">
        <f>AND('Listado General'!#REF!,"AAAAADfWzkg=")</f>
        <v>#REF!</v>
      </c>
      <c r="BV31" t="e">
        <f>AND('Listado General'!#REF!,"AAAAADfWzkk=")</f>
        <v>#REF!</v>
      </c>
      <c r="BW31" t="e">
        <f>AND('Listado General'!#REF!,"AAAAADfWzko=")</f>
        <v>#REF!</v>
      </c>
      <c r="BX31" t="e">
        <f>IF('Listado General'!#REF!,"AAAAADfWzks=",0)</f>
        <v>#REF!</v>
      </c>
      <c r="BY31" t="e">
        <f>AND('Listado General'!#REF!,"AAAAADfWzkw=")</f>
        <v>#REF!</v>
      </c>
      <c r="BZ31" t="e">
        <f>AND('Listado General'!#REF!,"AAAAADfWzk0=")</f>
        <v>#REF!</v>
      </c>
      <c r="CA31" t="e">
        <f>AND('Listado General'!#REF!,"AAAAADfWzk4=")</f>
        <v>#REF!</v>
      </c>
      <c r="CB31" t="e">
        <f>AND('Listado General'!#REF!,"AAAAADfWzk8=")</f>
        <v>#REF!</v>
      </c>
      <c r="CC31" t="e">
        <f>AND('Listado General'!#REF!,"AAAAADfWzlA=")</f>
        <v>#REF!</v>
      </c>
      <c r="CD31" t="e">
        <f>AND('Listado General'!#REF!,"AAAAADfWzlE=")</f>
        <v>#REF!</v>
      </c>
      <c r="CE31" t="e">
        <f>AND('Listado General'!#REF!,"AAAAADfWzlI=")</f>
        <v>#REF!</v>
      </c>
      <c r="CF31" t="e">
        <f>AND('Listado General'!#REF!,"AAAAADfWzlM=")</f>
        <v>#REF!</v>
      </c>
      <c r="CG31" t="e">
        <f>AND('Listado General'!#REF!,"AAAAADfWzlQ=")</f>
        <v>#REF!</v>
      </c>
      <c r="CH31" t="e">
        <f>IF('Listado General'!#REF!,"AAAAADfWzlU=",0)</f>
        <v>#REF!</v>
      </c>
      <c r="CI31" t="e">
        <f>AND('Listado General'!#REF!,"AAAAADfWzlY=")</f>
        <v>#REF!</v>
      </c>
      <c r="CJ31" t="e">
        <f>AND('Listado General'!#REF!,"AAAAADfWzlc=")</f>
        <v>#REF!</v>
      </c>
      <c r="CK31" t="e">
        <f>AND('Listado General'!#REF!,"AAAAADfWzlg=")</f>
        <v>#REF!</v>
      </c>
      <c r="CL31" t="e">
        <f>AND('Listado General'!#REF!,"AAAAADfWzlk=")</f>
        <v>#REF!</v>
      </c>
      <c r="CM31" t="e">
        <f>AND('Listado General'!#REF!,"AAAAADfWzlo=")</f>
        <v>#REF!</v>
      </c>
      <c r="CN31" t="e">
        <f>AND('Listado General'!#REF!,"AAAAADfWzls=")</f>
        <v>#REF!</v>
      </c>
      <c r="CO31" t="e">
        <f>AND('Listado General'!#REF!,"AAAAADfWzlw=")</f>
        <v>#REF!</v>
      </c>
      <c r="CP31" t="e">
        <f>AND('Listado General'!#REF!,"AAAAADfWzl0=")</f>
        <v>#REF!</v>
      </c>
      <c r="CQ31" t="e">
        <f>AND('Listado General'!#REF!,"AAAAADfWzl4=")</f>
        <v>#REF!</v>
      </c>
      <c r="CR31" t="e">
        <f>IF('Listado General'!#REF!,"AAAAADfWzl8=",0)</f>
        <v>#REF!</v>
      </c>
      <c r="CS31" t="e">
        <f>AND('Listado General'!#REF!,"AAAAADfWzmA=")</f>
        <v>#REF!</v>
      </c>
      <c r="CT31" t="e">
        <f>AND('Listado General'!#REF!,"AAAAADfWzmE=")</f>
        <v>#REF!</v>
      </c>
      <c r="CU31" t="e">
        <f>AND('Listado General'!#REF!,"AAAAADfWzmI=")</f>
        <v>#REF!</v>
      </c>
      <c r="CV31" t="e">
        <f>AND('Listado General'!#REF!,"AAAAADfWzmM=")</f>
        <v>#REF!</v>
      </c>
      <c r="CW31" t="e">
        <f>AND('Listado General'!#REF!,"AAAAADfWzmQ=")</f>
        <v>#REF!</v>
      </c>
      <c r="CX31" t="e">
        <f>AND('Listado General'!#REF!,"AAAAADfWzmU=")</f>
        <v>#REF!</v>
      </c>
      <c r="CY31" t="e">
        <f>AND('Listado General'!#REF!,"AAAAADfWzmY=")</f>
        <v>#REF!</v>
      </c>
      <c r="CZ31" t="e">
        <f>AND('Listado General'!#REF!,"AAAAADfWzmc=")</f>
        <v>#REF!</v>
      </c>
      <c r="DA31" t="e">
        <f>AND('Listado General'!#REF!,"AAAAADfWzmg=")</f>
        <v>#REF!</v>
      </c>
      <c r="DB31" t="e">
        <f>IF('Listado General'!#REF!,"AAAAADfWzmk=",0)</f>
        <v>#REF!</v>
      </c>
      <c r="DC31" t="e">
        <f>AND('Listado General'!#REF!,"AAAAADfWzmo=")</f>
        <v>#REF!</v>
      </c>
      <c r="DD31" t="e">
        <f>AND('Listado General'!#REF!,"AAAAADfWzms=")</f>
        <v>#REF!</v>
      </c>
      <c r="DE31" t="e">
        <f>AND('Listado General'!#REF!,"AAAAADfWzmw=")</f>
        <v>#REF!</v>
      </c>
      <c r="DF31" t="e">
        <f>AND('Listado General'!#REF!,"AAAAADfWzm0=")</f>
        <v>#REF!</v>
      </c>
      <c r="DG31" t="e">
        <f>AND('Listado General'!#REF!,"AAAAADfWzm4=")</f>
        <v>#REF!</v>
      </c>
      <c r="DH31" t="e">
        <f>AND('Listado General'!#REF!,"AAAAADfWzm8=")</f>
        <v>#REF!</v>
      </c>
      <c r="DI31" t="e">
        <f>AND('Listado General'!#REF!,"AAAAADfWznA=")</f>
        <v>#REF!</v>
      </c>
      <c r="DJ31" t="e">
        <f>AND('Listado General'!#REF!,"AAAAADfWznE=")</f>
        <v>#REF!</v>
      </c>
      <c r="DK31" t="e">
        <f>AND('Listado General'!#REF!,"AAAAADfWznI=")</f>
        <v>#REF!</v>
      </c>
      <c r="DL31" t="e">
        <f>IF('Listado General'!#REF!,"AAAAADfWznM=",0)</f>
        <v>#REF!</v>
      </c>
      <c r="DM31" t="e">
        <f>AND('Listado General'!#REF!,"AAAAADfWznQ=")</f>
        <v>#REF!</v>
      </c>
      <c r="DN31" t="e">
        <f>AND('Listado General'!#REF!,"AAAAADfWznU=")</f>
        <v>#REF!</v>
      </c>
      <c r="DO31" t="e">
        <f>AND('Listado General'!#REF!,"AAAAADfWznY=")</f>
        <v>#REF!</v>
      </c>
      <c r="DP31" t="e">
        <f>AND('Listado General'!#REF!,"AAAAADfWznc=")</f>
        <v>#REF!</v>
      </c>
      <c r="DQ31" t="e">
        <f>AND('Listado General'!#REF!,"AAAAADfWzng=")</f>
        <v>#REF!</v>
      </c>
      <c r="DR31" t="e">
        <f>AND('Listado General'!#REF!,"AAAAADfWznk=")</f>
        <v>#REF!</v>
      </c>
      <c r="DS31" t="e">
        <f>AND('Listado General'!#REF!,"AAAAADfWzno=")</f>
        <v>#REF!</v>
      </c>
      <c r="DT31" t="e">
        <f>AND('Listado General'!#REF!,"AAAAADfWzns=")</f>
        <v>#REF!</v>
      </c>
      <c r="DU31" t="e">
        <f>AND('Listado General'!#REF!,"AAAAADfWznw=")</f>
        <v>#REF!</v>
      </c>
      <c r="DV31" t="e">
        <f>IF('Listado General'!#REF!,"AAAAADfWzn0=",0)</f>
        <v>#REF!</v>
      </c>
      <c r="DW31" t="e">
        <f>AND('Listado General'!#REF!,"AAAAADfWzn4=")</f>
        <v>#REF!</v>
      </c>
      <c r="DX31" t="e">
        <f>AND('Listado General'!#REF!,"AAAAADfWzn8=")</f>
        <v>#REF!</v>
      </c>
      <c r="DY31" t="e">
        <f>AND('Listado General'!#REF!,"AAAAADfWzoA=")</f>
        <v>#REF!</v>
      </c>
      <c r="DZ31" t="e">
        <f>AND('Listado General'!#REF!,"AAAAADfWzoE=")</f>
        <v>#REF!</v>
      </c>
      <c r="EA31" t="e">
        <f>AND('Listado General'!#REF!,"AAAAADfWzoI=")</f>
        <v>#REF!</v>
      </c>
      <c r="EB31" t="e">
        <f>AND('Listado General'!#REF!,"AAAAADfWzoM=")</f>
        <v>#REF!</v>
      </c>
      <c r="EC31" t="e">
        <f>AND('Listado General'!#REF!,"AAAAADfWzoQ=")</f>
        <v>#REF!</v>
      </c>
      <c r="ED31" t="e">
        <f>AND('Listado General'!#REF!,"AAAAADfWzoU=")</f>
        <v>#REF!</v>
      </c>
      <c r="EE31" t="e">
        <f>AND('Listado General'!#REF!,"AAAAADfWzoY=")</f>
        <v>#REF!</v>
      </c>
      <c r="EF31" t="e">
        <f>IF('Listado General'!#REF!,"AAAAADfWzoc=",0)</f>
        <v>#REF!</v>
      </c>
      <c r="EG31" t="e">
        <f>AND('Listado General'!#REF!,"AAAAADfWzog=")</f>
        <v>#REF!</v>
      </c>
      <c r="EH31" t="e">
        <f>AND('Listado General'!#REF!,"AAAAADfWzok=")</f>
        <v>#REF!</v>
      </c>
      <c r="EI31" t="e">
        <f>AND('Listado General'!#REF!,"AAAAADfWzoo=")</f>
        <v>#REF!</v>
      </c>
      <c r="EJ31" t="e">
        <f>AND('Listado General'!#REF!,"AAAAADfWzos=")</f>
        <v>#REF!</v>
      </c>
      <c r="EK31" t="e">
        <f>AND('Listado General'!#REF!,"AAAAADfWzow=")</f>
        <v>#REF!</v>
      </c>
      <c r="EL31" t="e">
        <f>AND('Listado General'!#REF!,"AAAAADfWzo0=")</f>
        <v>#REF!</v>
      </c>
      <c r="EM31" t="e">
        <f>AND('Listado General'!#REF!,"AAAAADfWzo4=")</f>
        <v>#REF!</v>
      </c>
      <c r="EN31" t="e">
        <f>AND('Listado General'!#REF!,"AAAAADfWzo8=")</f>
        <v>#REF!</v>
      </c>
      <c r="EO31" t="e">
        <f>AND('Listado General'!#REF!,"AAAAADfWzpA=")</f>
        <v>#REF!</v>
      </c>
      <c r="EP31" t="e">
        <f>IF('Listado General'!#REF!,"AAAAADfWzpE=",0)</f>
        <v>#REF!</v>
      </c>
      <c r="EQ31" t="e">
        <f>AND('Listado General'!#REF!,"AAAAADfWzpI=")</f>
        <v>#REF!</v>
      </c>
      <c r="ER31" t="e">
        <f>AND('Listado General'!#REF!,"AAAAADfWzpM=")</f>
        <v>#REF!</v>
      </c>
      <c r="ES31" t="e">
        <f>AND('Listado General'!#REF!,"AAAAADfWzpQ=")</f>
        <v>#REF!</v>
      </c>
      <c r="ET31" t="e">
        <f>AND('Listado General'!#REF!,"AAAAADfWzpU=")</f>
        <v>#REF!</v>
      </c>
      <c r="EU31" t="e">
        <f>AND('Listado General'!#REF!,"AAAAADfWzpY=")</f>
        <v>#REF!</v>
      </c>
      <c r="EV31" t="e">
        <f>AND('Listado General'!#REF!,"AAAAADfWzpc=")</f>
        <v>#REF!</v>
      </c>
      <c r="EW31" t="e">
        <f>AND('Listado General'!#REF!,"AAAAADfWzpg=")</f>
        <v>#REF!</v>
      </c>
      <c r="EX31" t="e">
        <f>AND('Listado General'!#REF!,"AAAAADfWzpk=")</f>
        <v>#REF!</v>
      </c>
      <c r="EY31" t="e">
        <f>AND('Listado General'!#REF!,"AAAAADfWzpo=")</f>
        <v>#REF!</v>
      </c>
      <c r="EZ31" t="e">
        <f>IF('Listado General'!#REF!,"AAAAADfWzps=",0)</f>
        <v>#REF!</v>
      </c>
      <c r="FA31" t="e">
        <f>AND('Listado General'!#REF!,"AAAAADfWzpw=")</f>
        <v>#REF!</v>
      </c>
      <c r="FB31" t="e">
        <f>AND('Listado General'!#REF!,"AAAAADfWzp0=")</f>
        <v>#REF!</v>
      </c>
      <c r="FC31" t="e">
        <f>AND('Listado General'!#REF!,"AAAAADfWzp4=")</f>
        <v>#REF!</v>
      </c>
      <c r="FD31" t="e">
        <f>AND('Listado General'!#REF!,"AAAAADfWzp8=")</f>
        <v>#REF!</v>
      </c>
      <c r="FE31" t="e">
        <f>AND('Listado General'!#REF!,"AAAAADfWzqA=")</f>
        <v>#REF!</v>
      </c>
      <c r="FF31" t="e">
        <f>AND('Listado General'!#REF!,"AAAAADfWzqE=")</f>
        <v>#REF!</v>
      </c>
      <c r="FG31" t="e">
        <f>AND('Listado General'!#REF!,"AAAAADfWzqI=")</f>
        <v>#REF!</v>
      </c>
      <c r="FH31" t="e">
        <f>AND('Listado General'!#REF!,"AAAAADfWzqM=")</f>
        <v>#REF!</v>
      </c>
      <c r="FI31" t="e">
        <f>AND('Listado General'!#REF!,"AAAAADfWzqQ=")</f>
        <v>#REF!</v>
      </c>
      <c r="FJ31" t="e">
        <f>IF('Listado General'!#REF!,"AAAAADfWzqU=",0)</f>
        <v>#REF!</v>
      </c>
      <c r="FK31" t="e">
        <f>AND('Listado General'!#REF!,"AAAAADfWzqY=")</f>
        <v>#REF!</v>
      </c>
      <c r="FL31" t="e">
        <f>AND('Listado General'!#REF!,"AAAAADfWzqc=")</f>
        <v>#REF!</v>
      </c>
      <c r="FM31" t="e">
        <f>AND('Listado General'!#REF!,"AAAAADfWzqg=")</f>
        <v>#REF!</v>
      </c>
      <c r="FN31" t="e">
        <f>AND('Listado General'!#REF!,"AAAAADfWzqk=")</f>
        <v>#REF!</v>
      </c>
      <c r="FO31" t="e">
        <f>AND('Listado General'!#REF!,"AAAAADfWzqo=")</f>
        <v>#REF!</v>
      </c>
      <c r="FP31" t="e">
        <f>AND('Listado General'!#REF!,"AAAAADfWzqs=")</f>
        <v>#REF!</v>
      </c>
      <c r="FQ31" t="e">
        <f>AND('Listado General'!#REF!,"AAAAADfWzqw=")</f>
        <v>#REF!</v>
      </c>
      <c r="FR31" t="e">
        <f>AND('Listado General'!#REF!,"AAAAADfWzq0=")</f>
        <v>#REF!</v>
      </c>
      <c r="FS31" t="e">
        <f>AND('Listado General'!#REF!,"AAAAADfWzq4=")</f>
        <v>#REF!</v>
      </c>
      <c r="FT31" t="e">
        <f>IF('Listado General'!#REF!,"AAAAADfWzq8=",0)</f>
        <v>#REF!</v>
      </c>
      <c r="FU31" t="e">
        <f>AND('Listado General'!#REF!,"AAAAADfWzrA=")</f>
        <v>#REF!</v>
      </c>
      <c r="FV31" t="e">
        <f>AND('Listado General'!#REF!,"AAAAADfWzrE=")</f>
        <v>#REF!</v>
      </c>
      <c r="FW31" t="e">
        <f>AND('Listado General'!#REF!,"AAAAADfWzrI=")</f>
        <v>#REF!</v>
      </c>
      <c r="FX31" t="e">
        <f>AND('Listado General'!#REF!,"AAAAADfWzrM=")</f>
        <v>#REF!</v>
      </c>
      <c r="FY31" t="e">
        <f>AND('Listado General'!#REF!,"AAAAADfWzrQ=")</f>
        <v>#REF!</v>
      </c>
      <c r="FZ31" t="e">
        <f>AND('Listado General'!#REF!,"AAAAADfWzrU=")</f>
        <v>#REF!</v>
      </c>
      <c r="GA31" t="e">
        <f>AND('Listado General'!#REF!,"AAAAADfWzrY=")</f>
        <v>#REF!</v>
      </c>
      <c r="GB31" t="e">
        <f>AND('Listado General'!#REF!,"AAAAADfWzrc=")</f>
        <v>#REF!</v>
      </c>
      <c r="GC31" t="e">
        <f>AND('Listado General'!#REF!,"AAAAADfWzrg=")</f>
        <v>#REF!</v>
      </c>
      <c r="GD31" t="e">
        <f>IF('Listado General'!#REF!,"AAAAADfWzrk=",0)</f>
        <v>#REF!</v>
      </c>
      <c r="GE31" t="e">
        <f>AND('Listado General'!#REF!,"AAAAADfWzro=")</f>
        <v>#REF!</v>
      </c>
      <c r="GF31" t="e">
        <f>AND('Listado General'!#REF!,"AAAAADfWzrs=")</f>
        <v>#REF!</v>
      </c>
      <c r="GG31" t="e">
        <f>AND('Listado General'!#REF!,"AAAAADfWzrw=")</f>
        <v>#REF!</v>
      </c>
      <c r="GH31" t="e">
        <f>AND('Listado General'!#REF!,"AAAAADfWzr0=")</f>
        <v>#REF!</v>
      </c>
      <c r="GI31" t="e">
        <f>AND('Listado General'!#REF!,"AAAAADfWzr4=")</f>
        <v>#REF!</v>
      </c>
      <c r="GJ31" t="e">
        <f>AND('Listado General'!#REF!,"AAAAADfWzr8=")</f>
        <v>#REF!</v>
      </c>
      <c r="GK31" t="e">
        <f>AND('Listado General'!#REF!,"AAAAADfWzsA=")</f>
        <v>#REF!</v>
      </c>
      <c r="GL31" t="e">
        <f>AND('Listado General'!#REF!,"AAAAADfWzsE=")</f>
        <v>#REF!</v>
      </c>
      <c r="GM31" t="e">
        <f>AND('Listado General'!#REF!,"AAAAADfWzsI=")</f>
        <v>#REF!</v>
      </c>
      <c r="GN31" t="e">
        <f>IF('Listado General'!#REF!,"AAAAADfWzsM=",0)</f>
        <v>#REF!</v>
      </c>
      <c r="GO31" t="e">
        <f>AND('Listado General'!#REF!,"AAAAADfWzsQ=")</f>
        <v>#REF!</v>
      </c>
      <c r="GP31" t="e">
        <f>AND('Listado General'!#REF!,"AAAAADfWzsU=")</f>
        <v>#REF!</v>
      </c>
      <c r="GQ31" t="e">
        <f>AND('Listado General'!#REF!,"AAAAADfWzsY=")</f>
        <v>#REF!</v>
      </c>
      <c r="GR31" t="e">
        <f>AND('Listado General'!#REF!,"AAAAADfWzsc=")</f>
        <v>#REF!</v>
      </c>
      <c r="GS31" t="e">
        <f>AND('Listado General'!#REF!,"AAAAADfWzsg=")</f>
        <v>#REF!</v>
      </c>
      <c r="GT31" t="e">
        <f>AND('Listado General'!#REF!,"AAAAADfWzsk=")</f>
        <v>#REF!</v>
      </c>
      <c r="GU31" t="e">
        <f>AND('Listado General'!#REF!,"AAAAADfWzso=")</f>
        <v>#REF!</v>
      </c>
      <c r="GV31" t="e">
        <f>AND('Listado General'!#REF!,"AAAAADfWzss=")</f>
        <v>#REF!</v>
      </c>
      <c r="GW31" t="e">
        <f>AND('Listado General'!#REF!,"AAAAADfWzsw=")</f>
        <v>#REF!</v>
      </c>
      <c r="GX31" t="e">
        <f>IF('Listado General'!#REF!,"AAAAADfWzs0=",0)</f>
        <v>#REF!</v>
      </c>
      <c r="GY31" t="e">
        <f>AND('Listado General'!#REF!,"AAAAADfWzs4=")</f>
        <v>#REF!</v>
      </c>
      <c r="GZ31" t="e">
        <f>AND('Listado General'!#REF!,"AAAAADfWzs8=")</f>
        <v>#REF!</v>
      </c>
      <c r="HA31" t="e">
        <f>AND('Listado General'!#REF!,"AAAAADfWztA=")</f>
        <v>#REF!</v>
      </c>
      <c r="HB31" t="e">
        <f>AND('Listado General'!#REF!,"AAAAADfWztE=")</f>
        <v>#REF!</v>
      </c>
      <c r="HC31" t="e">
        <f>AND('Listado General'!#REF!,"AAAAADfWztI=")</f>
        <v>#REF!</v>
      </c>
      <c r="HD31" t="e">
        <f>AND('Listado General'!#REF!,"AAAAADfWztM=")</f>
        <v>#REF!</v>
      </c>
      <c r="HE31" t="e">
        <f>AND('Listado General'!#REF!,"AAAAADfWztQ=")</f>
        <v>#REF!</v>
      </c>
      <c r="HF31" t="e">
        <f>AND('Listado General'!#REF!,"AAAAADfWztU=")</f>
        <v>#REF!</v>
      </c>
      <c r="HG31" t="e">
        <f>AND('Listado General'!#REF!,"AAAAADfWztY=")</f>
        <v>#REF!</v>
      </c>
      <c r="HH31" t="e">
        <f>IF('Listado General'!#REF!,"AAAAADfWztc=",0)</f>
        <v>#REF!</v>
      </c>
      <c r="HI31" t="e">
        <f>AND('Listado General'!#REF!,"AAAAADfWztg=")</f>
        <v>#REF!</v>
      </c>
      <c r="HJ31" t="e">
        <f>AND('Listado General'!#REF!,"AAAAADfWztk=")</f>
        <v>#REF!</v>
      </c>
      <c r="HK31" t="e">
        <f>AND('Listado General'!#REF!,"AAAAADfWzto=")</f>
        <v>#REF!</v>
      </c>
      <c r="HL31" t="e">
        <f>AND('Listado General'!#REF!,"AAAAADfWzts=")</f>
        <v>#REF!</v>
      </c>
      <c r="HM31" t="e">
        <f>AND('Listado General'!#REF!,"AAAAADfWztw=")</f>
        <v>#REF!</v>
      </c>
      <c r="HN31" t="e">
        <f>AND('Listado General'!#REF!,"AAAAADfWzt0=")</f>
        <v>#REF!</v>
      </c>
      <c r="HO31" t="e">
        <f>AND('Listado General'!#REF!,"AAAAADfWzt4=")</f>
        <v>#REF!</v>
      </c>
      <c r="HP31" t="e">
        <f>AND('Listado General'!#REF!,"AAAAADfWzt8=")</f>
        <v>#REF!</v>
      </c>
      <c r="HQ31" t="e">
        <f>AND('Listado General'!#REF!,"AAAAADfWzuA=")</f>
        <v>#REF!</v>
      </c>
      <c r="HR31" t="e">
        <f>IF('Listado General'!#REF!,"AAAAADfWzuE=",0)</f>
        <v>#REF!</v>
      </c>
      <c r="HS31" t="e">
        <f>AND('Listado General'!#REF!,"AAAAADfWzuI=")</f>
        <v>#REF!</v>
      </c>
      <c r="HT31" t="e">
        <f>AND('Listado General'!#REF!,"AAAAADfWzuM=")</f>
        <v>#REF!</v>
      </c>
      <c r="HU31" t="e">
        <f>AND('Listado General'!#REF!,"AAAAADfWzuQ=")</f>
        <v>#REF!</v>
      </c>
      <c r="HV31" t="e">
        <f>AND('Listado General'!#REF!,"AAAAADfWzuU=")</f>
        <v>#REF!</v>
      </c>
      <c r="HW31" t="e">
        <f>AND('Listado General'!#REF!,"AAAAADfWzuY=")</f>
        <v>#REF!</v>
      </c>
      <c r="HX31" t="e">
        <f>AND('Listado General'!#REF!,"AAAAADfWzuc=")</f>
        <v>#REF!</v>
      </c>
      <c r="HY31" t="e">
        <f>AND('Listado General'!#REF!,"AAAAADfWzug=")</f>
        <v>#REF!</v>
      </c>
      <c r="HZ31" t="e">
        <f>AND('Listado General'!#REF!,"AAAAADfWzuk=")</f>
        <v>#REF!</v>
      </c>
      <c r="IA31" t="e">
        <f>AND('Listado General'!#REF!,"AAAAADfWzuo=")</f>
        <v>#REF!</v>
      </c>
      <c r="IB31" t="e">
        <f>IF('Listado General'!#REF!,"AAAAADfWzus=",0)</f>
        <v>#REF!</v>
      </c>
      <c r="IC31" t="e">
        <f>AND('Listado General'!#REF!,"AAAAADfWzuw=")</f>
        <v>#REF!</v>
      </c>
      <c r="ID31" t="e">
        <f>AND('Listado General'!#REF!,"AAAAADfWzu0=")</f>
        <v>#REF!</v>
      </c>
      <c r="IE31" t="e">
        <f>AND('Listado General'!#REF!,"AAAAADfWzu4=")</f>
        <v>#REF!</v>
      </c>
      <c r="IF31" t="e">
        <f>AND('Listado General'!#REF!,"AAAAADfWzu8=")</f>
        <v>#REF!</v>
      </c>
      <c r="IG31" t="e">
        <f>AND('Listado General'!#REF!,"AAAAADfWzvA=")</f>
        <v>#REF!</v>
      </c>
      <c r="IH31" t="e">
        <f>AND('Listado General'!#REF!,"AAAAADfWzvE=")</f>
        <v>#REF!</v>
      </c>
      <c r="II31" t="e">
        <f>AND('Listado General'!#REF!,"AAAAADfWzvI=")</f>
        <v>#REF!</v>
      </c>
      <c r="IJ31" t="e">
        <f>AND('Listado General'!#REF!,"AAAAADfWzvM=")</f>
        <v>#REF!</v>
      </c>
      <c r="IK31" t="e">
        <f>AND('Listado General'!#REF!,"AAAAADfWzvQ=")</f>
        <v>#REF!</v>
      </c>
      <c r="IL31" t="e">
        <f>IF('Listado General'!#REF!,"AAAAADfWzvU=",0)</f>
        <v>#REF!</v>
      </c>
      <c r="IM31" t="e">
        <f>AND('Listado General'!#REF!,"AAAAADfWzvY=")</f>
        <v>#REF!</v>
      </c>
      <c r="IN31" t="e">
        <f>AND('Listado General'!#REF!,"AAAAADfWzvc=")</f>
        <v>#REF!</v>
      </c>
      <c r="IO31" t="e">
        <f>AND('Listado General'!#REF!,"AAAAADfWzvg=")</f>
        <v>#REF!</v>
      </c>
      <c r="IP31" t="e">
        <f>AND('Listado General'!#REF!,"AAAAADfWzvk=")</f>
        <v>#REF!</v>
      </c>
      <c r="IQ31" t="e">
        <f>AND('Listado General'!#REF!,"AAAAADfWzvo=")</f>
        <v>#REF!</v>
      </c>
      <c r="IR31" t="e">
        <f>AND('Listado General'!#REF!,"AAAAADfWzvs=")</f>
        <v>#REF!</v>
      </c>
      <c r="IS31" t="e">
        <f>AND('Listado General'!#REF!,"AAAAADfWzvw=")</f>
        <v>#REF!</v>
      </c>
      <c r="IT31" t="e">
        <f>AND('Listado General'!#REF!,"AAAAADfWzv0=")</f>
        <v>#REF!</v>
      </c>
      <c r="IU31" t="e">
        <f>AND('Listado General'!#REF!,"AAAAADfWzv4=")</f>
        <v>#REF!</v>
      </c>
      <c r="IV31" t="e">
        <f>IF('Listado General'!#REF!,"AAAAADfWzv8=",0)</f>
        <v>#REF!</v>
      </c>
    </row>
    <row r="32" spans="1:256" ht="12.75">
      <c r="A32" t="e">
        <f>AND('Listado General'!#REF!,"AAAAAHPzjAA=")</f>
        <v>#REF!</v>
      </c>
      <c r="B32" t="e">
        <f>AND('Listado General'!#REF!,"AAAAAHPzjAE=")</f>
        <v>#REF!</v>
      </c>
      <c r="C32" t="e">
        <f>AND('Listado General'!#REF!,"AAAAAHPzjAI=")</f>
        <v>#REF!</v>
      </c>
      <c r="D32" t="e">
        <f>AND('Listado General'!#REF!,"AAAAAHPzjAM=")</f>
        <v>#REF!</v>
      </c>
      <c r="E32" t="e">
        <f>AND('Listado General'!#REF!,"AAAAAHPzjAQ=")</f>
        <v>#REF!</v>
      </c>
      <c r="F32" t="e">
        <f>AND('Listado General'!#REF!,"AAAAAHPzjAU=")</f>
        <v>#REF!</v>
      </c>
      <c r="G32" t="e">
        <f>AND('Listado General'!#REF!,"AAAAAHPzjAY=")</f>
        <v>#REF!</v>
      </c>
      <c r="H32" t="e">
        <f>AND('Listado General'!#REF!,"AAAAAHPzjAc=")</f>
        <v>#REF!</v>
      </c>
      <c r="I32" t="e">
        <f>AND('Listado General'!#REF!,"AAAAAHPzjAg=")</f>
        <v>#REF!</v>
      </c>
      <c r="J32" t="e">
        <f>IF('Listado General'!#REF!,"AAAAAHPzjAk=",0)</f>
        <v>#REF!</v>
      </c>
      <c r="K32" t="e">
        <f>AND('Listado General'!#REF!,"AAAAAHPzjAo=")</f>
        <v>#REF!</v>
      </c>
      <c r="L32" t="e">
        <f>AND('Listado General'!#REF!,"AAAAAHPzjAs=")</f>
        <v>#REF!</v>
      </c>
      <c r="M32" t="e">
        <f>AND('Listado General'!#REF!,"AAAAAHPzjAw=")</f>
        <v>#REF!</v>
      </c>
      <c r="N32" t="e">
        <f>AND('Listado General'!#REF!,"AAAAAHPzjA0=")</f>
        <v>#REF!</v>
      </c>
      <c r="O32" t="e">
        <f>AND('Listado General'!#REF!,"AAAAAHPzjA4=")</f>
        <v>#REF!</v>
      </c>
      <c r="P32" t="e">
        <f>AND('Listado General'!#REF!,"AAAAAHPzjA8=")</f>
        <v>#REF!</v>
      </c>
      <c r="Q32" t="e">
        <f>AND('Listado General'!#REF!,"AAAAAHPzjBA=")</f>
        <v>#REF!</v>
      </c>
      <c r="R32" t="e">
        <f>AND('Listado General'!#REF!,"AAAAAHPzjBE=")</f>
        <v>#REF!</v>
      </c>
      <c r="S32" t="e">
        <f>AND('Listado General'!#REF!,"AAAAAHPzjBI=")</f>
        <v>#REF!</v>
      </c>
      <c r="T32" t="e">
        <f>IF('Listado General'!#REF!,"AAAAAHPzjBM=",0)</f>
        <v>#REF!</v>
      </c>
      <c r="U32" t="e">
        <f>AND('Listado General'!#REF!,"AAAAAHPzjBQ=")</f>
        <v>#REF!</v>
      </c>
      <c r="V32" t="e">
        <f>AND('Listado General'!#REF!,"AAAAAHPzjBU=")</f>
        <v>#REF!</v>
      </c>
      <c r="W32" t="e">
        <f>AND('Listado General'!#REF!,"AAAAAHPzjBY=")</f>
        <v>#REF!</v>
      </c>
      <c r="X32" t="e">
        <f>AND('Listado General'!#REF!,"AAAAAHPzjBc=")</f>
        <v>#REF!</v>
      </c>
      <c r="Y32" t="e">
        <f>AND('Listado General'!#REF!,"AAAAAHPzjBg=")</f>
        <v>#REF!</v>
      </c>
      <c r="Z32" t="e">
        <f>AND('Listado General'!#REF!,"AAAAAHPzjBk=")</f>
        <v>#REF!</v>
      </c>
      <c r="AA32" t="e">
        <f>AND('Listado General'!#REF!,"AAAAAHPzjBo=")</f>
        <v>#REF!</v>
      </c>
      <c r="AB32" t="e">
        <f>AND('Listado General'!#REF!,"AAAAAHPzjBs=")</f>
        <v>#REF!</v>
      </c>
      <c r="AC32" t="e">
        <f>AND('Listado General'!#REF!,"AAAAAHPzjBw=")</f>
        <v>#REF!</v>
      </c>
      <c r="AD32" t="e">
        <f>IF('Listado General'!#REF!,"AAAAAHPzjB0=",0)</f>
        <v>#REF!</v>
      </c>
      <c r="AE32" t="e">
        <f>AND('Listado General'!#REF!,"AAAAAHPzjB4=")</f>
        <v>#REF!</v>
      </c>
      <c r="AF32" t="e">
        <f>AND('Listado General'!#REF!,"AAAAAHPzjB8=")</f>
        <v>#REF!</v>
      </c>
      <c r="AG32" t="e">
        <f>AND('Listado General'!#REF!,"AAAAAHPzjCA=")</f>
        <v>#REF!</v>
      </c>
      <c r="AH32" t="e">
        <f>AND('Listado General'!#REF!,"AAAAAHPzjCE=")</f>
        <v>#REF!</v>
      </c>
      <c r="AI32" t="e">
        <f>AND('Listado General'!#REF!,"AAAAAHPzjCI=")</f>
        <v>#REF!</v>
      </c>
      <c r="AJ32" t="e">
        <f>AND('Listado General'!#REF!,"AAAAAHPzjCM=")</f>
        <v>#REF!</v>
      </c>
      <c r="AK32" t="e">
        <f>AND('Listado General'!#REF!,"AAAAAHPzjCQ=")</f>
        <v>#REF!</v>
      </c>
      <c r="AL32" t="e">
        <f>AND('Listado General'!#REF!,"AAAAAHPzjCU=")</f>
        <v>#REF!</v>
      </c>
      <c r="AM32" t="e">
        <f>AND('Listado General'!#REF!,"AAAAAHPzjCY=")</f>
        <v>#REF!</v>
      </c>
      <c r="AN32" t="e">
        <f>IF('Listado General'!#REF!,"AAAAAHPzjCc=",0)</f>
        <v>#REF!</v>
      </c>
      <c r="AO32" t="e">
        <f>AND('Listado General'!#REF!,"AAAAAHPzjCg=")</f>
        <v>#REF!</v>
      </c>
      <c r="AP32" t="e">
        <f>AND('Listado General'!#REF!,"AAAAAHPzjCk=")</f>
        <v>#REF!</v>
      </c>
      <c r="AQ32" t="e">
        <f>AND('Listado General'!#REF!,"AAAAAHPzjCo=")</f>
        <v>#REF!</v>
      </c>
      <c r="AR32" t="e">
        <f>AND('Listado General'!#REF!,"AAAAAHPzjCs=")</f>
        <v>#REF!</v>
      </c>
      <c r="AS32" t="e">
        <f>AND('Listado General'!#REF!,"AAAAAHPzjCw=")</f>
        <v>#REF!</v>
      </c>
      <c r="AT32" t="e">
        <f>AND('Listado General'!#REF!,"AAAAAHPzjC0=")</f>
        <v>#REF!</v>
      </c>
      <c r="AU32" t="e">
        <f>AND('Listado General'!#REF!,"AAAAAHPzjC4=")</f>
        <v>#REF!</v>
      </c>
      <c r="AV32" t="e">
        <f>AND('Listado General'!#REF!,"AAAAAHPzjC8=")</f>
        <v>#REF!</v>
      </c>
      <c r="AW32" t="e">
        <f>AND('Listado General'!#REF!,"AAAAAHPzjDA=")</f>
        <v>#REF!</v>
      </c>
      <c r="AX32" t="e">
        <f>IF('Listado General'!#REF!,"AAAAAHPzjDE=",0)</f>
        <v>#REF!</v>
      </c>
      <c r="AY32" t="e">
        <f>AND('Listado General'!#REF!,"AAAAAHPzjDI=")</f>
        <v>#REF!</v>
      </c>
      <c r="AZ32" t="e">
        <f>AND('Listado General'!#REF!,"AAAAAHPzjDM=")</f>
        <v>#REF!</v>
      </c>
      <c r="BA32" t="e">
        <f>AND('Listado General'!#REF!,"AAAAAHPzjDQ=")</f>
        <v>#REF!</v>
      </c>
      <c r="BB32" t="e">
        <f>AND('Listado General'!#REF!,"AAAAAHPzjDU=")</f>
        <v>#REF!</v>
      </c>
      <c r="BC32" t="e">
        <f>AND('Listado General'!#REF!,"AAAAAHPzjDY=")</f>
        <v>#REF!</v>
      </c>
      <c r="BD32" t="e">
        <f>AND('Listado General'!#REF!,"AAAAAHPzjDc=")</f>
        <v>#REF!</v>
      </c>
      <c r="BE32" t="e">
        <f>AND('Listado General'!#REF!,"AAAAAHPzjDg=")</f>
        <v>#REF!</v>
      </c>
      <c r="BF32" t="e">
        <f>AND('Listado General'!#REF!,"AAAAAHPzjDk=")</f>
        <v>#REF!</v>
      </c>
      <c r="BG32" t="e">
        <f>AND('Listado General'!#REF!,"AAAAAHPzjDo=")</f>
        <v>#REF!</v>
      </c>
      <c r="BH32" t="e">
        <f>IF('Listado General'!#REF!,"AAAAAHPzjDs=",0)</f>
        <v>#REF!</v>
      </c>
      <c r="BI32" t="e">
        <f>AND('Listado General'!#REF!,"AAAAAHPzjDw=")</f>
        <v>#REF!</v>
      </c>
      <c r="BJ32" t="e">
        <f>AND('Listado General'!#REF!,"AAAAAHPzjD0=")</f>
        <v>#REF!</v>
      </c>
      <c r="BK32" t="e">
        <f>AND('Listado General'!#REF!,"AAAAAHPzjD4=")</f>
        <v>#REF!</v>
      </c>
      <c r="BL32" t="e">
        <f>AND('Listado General'!#REF!,"AAAAAHPzjD8=")</f>
        <v>#REF!</v>
      </c>
      <c r="BM32" t="e">
        <f>AND('Listado General'!#REF!,"AAAAAHPzjEA=")</f>
        <v>#REF!</v>
      </c>
      <c r="BN32" t="e">
        <f>AND('Listado General'!#REF!,"AAAAAHPzjEE=")</f>
        <v>#REF!</v>
      </c>
      <c r="BO32" t="e">
        <f>AND('Listado General'!#REF!,"AAAAAHPzjEI=")</f>
        <v>#REF!</v>
      </c>
      <c r="BP32" t="e">
        <f>AND('Listado General'!#REF!,"AAAAAHPzjEM=")</f>
        <v>#REF!</v>
      </c>
      <c r="BQ32" t="e">
        <f>AND('Listado General'!#REF!,"AAAAAHPzjEQ=")</f>
        <v>#REF!</v>
      </c>
      <c r="BR32" t="e">
        <f>IF('Listado General'!#REF!,"AAAAAHPzjEU=",0)</f>
        <v>#REF!</v>
      </c>
      <c r="BS32" t="e">
        <f>AND('Listado General'!#REF!,"AAAAAHPzjEY=")</f>
        <v>#REF!</v>
      </c>
      <c r="BT32" t="e">
        <f>AND('Listado General'!#REF!,"AAAAAHPzjEc=")</f>
        <v>#REF!</v>
      </c>
      <c r="BU32" t="e">
        <f>AND('Listado General'!#REF!,"AAAAAHPzjEg=")</f>
        <v>#REF!</v>
      </c>
      <c r="BV32" t="e">
        <f>AND('Listado General'!#REF!,"AAAAAHPzjEk=")</f>
        <v>#REF!</v>
      </c>
      <c r="BW32" t="e">
        <f>AND('Listado General'!#REF!,"AAAAAHPzjEo=")</f>
        <v>#REF!</v>
      </c>
      <c r="BX32" t="e">
        <f>AND('Listado General'!#REF!,"AAAAAHPzjEs=")</f>
        <v>#REF!</v>
      </c>
      <c r="BY32" t="e">
        <f>AND('Listado General'!#REF!,"AAAAAHPzjEw=")</f>
        <v>#REF!</v>
      </c>
      <c r="BZ32" t="e">
        <f>AND('Listado General'!#REF!,"AAAAAHPzjE0=")</f>
        <v>#REF!</v>
      </c>
      <c r="CA32" t="e">
        <f>AND('Listado General'!#REF!,"AAAAAHPzjE4=")</f>
        <v>#REF!</v>
      </c>
      <c r="CB32" t="e">
        <f>IF('Listado General'!#REF!,"AAAAAHPzjE8=",0)</f>
        <v>#REF!</v>
      </c>
      <c r="CC32" t="e">
        <f>AND('Listado General'!#REF!,"AAAAAHPzjFA=")</f>
        <v>#REF!</v>
      </c>
      <c r="CD32" t="e">
        <f>AND('Listado General'!#REF!,"AAAAAHPzjFE=")</f>
        <v>#REF!</v>
      </c>
      <c r="CE32" t="e">
        <f>AND('Listado General'!#REF!,"AAAAAHPzjFI=")</f>
        <v>#REF!</v>
      </c>
      <c r="CF32" t="e">
        <f>AND('Listado General'!#REF!,"AAAAAHPzjFM=")</f>
        <v>#REF!</v>
      </c>
      <c r="CG32" t="e">
        <f>AND('Listado General'!#REF!,"AAAAAHPzjFQ=")</f>
        <v>#REF!</v>
      </c>
      <c r="CH32" t="e">
        <f>AND('Listado General'!#REF!,"AAAAAHPzjFU=")</f>
        <v>#REF!</v>
      </c>
      <c r="CI32" t="e">
        <f>AND('Listado General'!#REF!,"AAAAAHPzjFY=")</f>
        <v>#REF!</v>
      </c>
      <c r="CJ32" t="e">
        <f>AND('Listado General'!#REF!,"AAAAAHPzjFc=")</f>
        <v>#REF!</v>
      </c>
      <c r="CK32" t="e">
        <f>AND('Listado General'!#REF!,"AAAAAHPzjFg=")</f>
        <v>#REF!</v>
      </c>
      <c r="CL32" t="e">
        <f>IF('Listado General'!#REF!,"AAAAAHPzjFk=",0)</f>
        <v>#REF!</v>
      </c>
      <c r="CM32" t="e">
        <f>AND('Listado General'!#REF!,"AAAAAHPzjFo=")</f>
        <v>#REF!</v>
      </c>
      <c r="CN32" t="e">
        <f>AND('Listado General'!#REF!,"AAAAAHPzjFs=")</f>
        <v>#REF!</v>
      </c>
      <c r="CO32" t="e">
        <f>AND('Listado General'!#REF!,"AAAAAHPzjFw=")</f>
        <v>#REF!</v>
      </c>
      <c r="CP32" t="e">
        <f>AND('Listado General'!#REF!,"AAAAAHPzjF0=")</f>
        <v>#REF!</v>
      </c>
      <c r="CQ32" t="e">
        <f>AND('Listado General'!#REF!,"AAAAAHPzjF4=")</f>
        <v>#REF!</v>
      </c>
      <c r="CR32" t="e">
        <f>AND('Listado General'!#REF!,"AAAAAHPzjF8=")</f>
        <v>#REF!</v>
      </c>
      <c r="CS32" t="e">
        <f>AND('Listado General'!#REF!,"AAAAAHPzjGA=")</f>
        <v>#REF!</v>
      </c>
      <c r="CT32" t="e">
        <f>AND('Listado General'!#REF!,"AAAAAHPzjGE=")</f>
        <v>#REF!</v>
      </c>
      <c r="CU32" t="e">
        <f>AND('Listado General'!#REF!,"AAAAAHPzjGI=")</f>
        <v>#REF!</v>
      </c>
      <c r="CV32" t="e">
        <f>IF('Listado General'!#REF!,"AAAAAHPzjGM=",0)</f>
        <v>#REF!</v>
      </c>
      <c r="CW32" t="e">
        <f>AND('Listado General'!#REF!,"AAAAAHPzjGQ=")</f>
        <v>#REF!</v>
      </c>
      <c r="CX32" t="e">
        <f>AND('Listado General'!#REF!,"AAAAAHPzjGU=")</f>
        <v>#REF!</v>
      </c>
      <c r="CY32" t="e">
        <f>AND('Listado General'!#REF!,"AAAAAHPzjGY=")</f>
        <v>#REF!</v>
      </c>
      <c r="CZ32" t="e">
        <f>AND('Listado General'!#REF!,"AAAAAHPzjGc=")</f>
        <v>#REF!</v>
      </c>
      <c r="DA32" t="e">
        <f>AND('Listado General'!#REF!,"AAAAAHPzjGg=")</f>
        <v>#REF!</v>
      </c>
      <c r="DB32" t="e">
        <f>AND('Listado General'!#REF!,"AAAAAHPzjGk=")</f>
        <v>#REF!</v>
      </c>
      <c r="DC32" t="e">
        <f>AND('Listado General'!#REF!,"AAAAAHPzjGo=")</f>
        <v>#REF!</v>
      </c>
      <c r="DD32" t="e">
        <f>AND('Listado General'!#REF!,"AAAAAHPzjGs=")</f>
        <v>#REF!</v>
      </c>
      <c r="DE32" t="e">
        <f>AND('Listado General'!#REF!,"AAAAAHPzjGw=")</f>
        <v>#REF!</v>
      </c>
      <c r="DF32" t="e">
        <f>IF('Listado General'!#REF!,"AAAAAHPzjG0=",0)</f>
        <v>#REF!</v>
      </c>
      <c r="DG32" t="e">
        <f>AND('Listado General'!#REF!,"AAAAAHPzjG4=")</f>
        <v>#REF!</v>
      </c>
      <c r="DH32" t="e">
        <f>AND('Listado General'!#REF!,"AAAAAHPzjG8=")</f>
        <v>#REF!</v>
      </c>
      <c r="DI32" t="e">
        <f>AND('Listado General'!#REF!,"AAAAAHPzjHA=")</f>
        <v>#REF!</v>
      </c>
      <c r="DJ32" t="e">
        <f>AND('Listado General'!#REF!,"AAAAAHPzjHE=")</f>
        <v>#REF!</v>
      </c>
      <c r="DK32" t="e">
        <f>AND('Listado General'!#REF!,"AAAAAHPzjHI=")</f>
        <v>#REF!</v>
      </c>
      <c r="DL32" t="e">
        <f>AND('Listado General'!#REF!,"AAAAAHPzjHM=")</f>
        <v>#REF!</v>
      </c>
      <c r="DM32" t="e">
        <f>AND('Listado General'!#REF!,"AAAAAHPzjHQ=")</f>
        <v>#REF!</v>
      </c>
      <c r="DN32" t="e">
        <f>AND('Listado General'!#REF!,"AAAAAHPzjHU=")</f>
        <v>#REF!</v>
      </c>
      <c r="DO32" t="e">
        <f>AND('Listado General'!#REF!,"AAAAAHPzjHY=")</f>
        <v>#REF!</v>
      </c>
      <c r="DP32" t="e">
        <f>IF('Listado General'!#REF!,"AAAAAHPzjHc=",0)</f>
        <v>#REF!</v>
      </c>
      <c r="DQ32" t="e">
        <f>AND('Listado General'!#REF!,"AAAAAHPzjHg=")</f>
        <v>#REF!</v>
      </c>
      <c r="DR32" t="e">
        <f>AND('Listado General'!#REF!,"AAAAAHPzjHk=")</f>
        <v>#REF!</v>
      </c>
      <c r="DS32" t="e">
        <f>AND('Listado General'!#REF!,"AAAAAHPzjHo=")</f>
        <v>#REF!</v>
      </c>
      <c r="DT32" t="e">
        <f>AND('Listado General'!#REF!,"AAAAAHPzjHs=")</f>
        <v>#REF!</v>
      </c>
      <c r="DU32" t="e">
        <f>AND('Listado General'!#REF!,"AAAAAHPzjHw=")</f>
        <v>#REF!</v>
      </c>
      <c r="DV32" t="e">
        <f>AND('Listado General'!#REF!,"AAAAAHPzjH0=")</f>
        <v>#REF!</v>
      </c>
      <c r="DW32" t="e">
        <f>AND('Listado General'!#REF!,"AAAAAHPzjH4=")</f>
        <v>#REF!</v>
      </c>
      <c r="DX32" t="e">
        <f>AND('Listado General'!#REF!,"AAAAAHPzjH8=")</f>
        <v>#REF!</v>
      </c>
      <c r="DY32" t="e">
        <f>AND('Listado General'!#REF!,"AAAAAHPzjIA=")</f>
        <v>#REF!</v>
      </c>
      <c r="DZ32" t="e">
        <f>IF('Listado General'!#REF!,"AAAAAHPzjIE=",0)</f>
        <v>#REF!</v>
      </c>
      <c r="EA32" t="e">
        <f>AND('Listado General'!#REF!,"AAAAAHPzjII=")</f>
        <v>#REF!</v>
      </c>
      <c r="EB32" t="e">
        <f>AND('Listado General'!#REF!,"AAAAAHPzjIM=")</f>
        <v>#REF!</v>
      </c>
      <c r="EC32" t="e">
        <f>AND('Listado General'!#REF!,"AAAAAHPzjIQ=")</f>
        <v>#REF!</v>
      </c>
      <c r="ED32" t="e">
        <f>AND('Listado General'!#REF!,"AAAAAHPzjIU=")</f>
        <v>#REF!</v>
      </c>
      <c r="EE32" t="e">
        <f>AND('Listado General'!#REF!,"AAAAAHPzjIY=")</f>
        <v>#REF!</v>
      </c>
      <c r="EF32" t="e">
        <f>AND('Listado General'!#REF!,"AAAAAHPzjIc=")</f>
        <v>#REF!</v>
      </c>
      <c r="EG32" t="e">
        <f>AND('Listado General'!#REF!,"AAAAAHPzjIg=")</f>
        <v>#REF!</v>
      </c>
      <c r="EH32" t="e">
        <f>AND('Listado General'!#REF!,"AAAAAHPzjIk=")</f>
        <v>#REF!</v>
      </c>
      <c r="EI32" t="e">
        <f>AND('Listado General'!#REF!,"AAAAAHPzjIo=")</f>
        <v>#REF!</v>
      </c>
      <c r="EJ32" t="e">
        <f>IF('Listado General'!#REF!,"AAAAAHPzjIs=",0)</f>
        <v>#REF!</v>
      </c>
      <c r="EK32" t="e">
        <f>AND('Listado General'!#REF!,"AAAAAHPzjIw=")</f>
        <v>#REF!</v>
      </c>
      <c r="EL32" t="e">
        <f>AND('Listado General'!#REF!,"AAAAAHPzjI0=")</f>
        <v>#REF!</v>
      </c>
      <c r="EM32" t="e">
        <f>AND('Listado General'!#REF!,"AAAAAHPzjI4=")</f>
        <v>#REF!</v>
      </c>
      <c r="EN32" t="e">
        <f>AND('Listado General'!#REF!,"AAAAAHPzjI8=")</f>
        <v>#REF!</v>
      </c>
      <c r="EO32" t="e">
        <f>AND('Listado General'!#REF!,"AAAAAHPzjJA=")</f>
        <v>#REF!</v>
      </c>
      <c r="EP32" t="e">
        <f>AND('Listado General'!#REF!,"AAAAAHPzjJE=")</f>
        <v>#REF!</v>
      </c>
      <c r="EQ32" t="e">
        <f>AND('Listado General'!#REF!,"AAAAAHPzjJI=")</f>
        <v>#REF!</v>
      </c>
      <c r="ER32" t="e">
        <f>AND('Listado General'!#REF!,"AAAAAHPzjJM=")</f>
        <v>#REF!</v>
      </c>
      <c r="ES32" t="e">
        <f>AND('Listado General'!#REF!,"AAAAAHPzjJQ=")</f>
        <v>#REF!</v>
      </c>
      <c r="ET32" t="e">
        <f>IF('Listado General'!#REF!,"AAAAAHPzjJU=",0)</f>
        <v>#REF!</v>
      </c>
      <c r="EU32" t="e">
        <f>AND('Listado General'!#REF!,"AAAAAHPzjJY=")</f>
        <v>#REF!</v>
      </c>
      <c r="EV32" t="e">
        <f>AND('Listado General'!#REF!,"AAAAAHPzjJc=")</f>
        <v>#REF!</v>
      </c>
      <c r="EW32" t="e">
        <f>AND('Listado General'!#REF!,"AAAAAHPzjJg=")</f>
        <v>#REF!</v>
      </c>
      <c r="EX32" t="e">
        <f>AND('Listado General'!#REF!,"AAAAAHPzjJk=")</f>
        <v>#REF!</v>
      </c>
      <c r="EY32" t="e">
        <f>AND('Listado General'!#REF!,"AAAAAHPzjJo=")</f>
        <v>#REF!</v>
      </c>
      <c r="EZ32" t="e">
        <f>AND('Listado General'!#REF!,"AAAAAHPzjJs=")</f>
        <v>#REF!</v>
      </c>
      <c r="FA32" t="e">
        <f>AND('Listado General'!#REF!,"AAAAAHPzjJw=")</f>
        <v>#REF!</v>
      </c>
      <c r="FB32" t="e">
        <f>AND('Listado General'!#REF!,"AAAAAHPzjJ0=")</f>
        <v>#REF!</v>
      </c>
      <c r="FC32" t="e">
        <f>AND('Listado General'!#REF!,"AAAAAHPzjJ4=")</f>
        <v>#REF!</v>
      </c>
      <c r="FD32" t="e">
        <f>IF('Listado General'!#REF!,"AAAAAHPzjJ8=",0)</f>
        <v>#REF!</v>
      </c>
      <c r="FE32" t="e">
        <f>AND('Listado General'!#REF!,"AAAAAHPzjKA=")</f>
        <v>#REF!</v>
      </c>
      <c r="FF32" t="e">
        <f>AND('Listado General'!#REF!,"AAAAAHPzjKE=")</f>
        <v>#REF!</v>
      </c>
      <c r="FG32" t="e">
        <f>AND('Listado General'!#REF!,"AAAAAHPzjKI=")</f>
        <v>#REF!</v>
      </c>
      <c r="FH32" t="e">
        <f>AND('Listado General'!#REF!,"AAAAAHPzjKM=")</f>
        <v>#REF!</v>
      </c>
      <c r="FI32" t="e">
        <f>AND('Listado General'!#REF!,"AAAAAHPzjKQ=")</f>
        <v>#REF!</v>
      </c>
      <c r="FJ32" t="e">
        <f>AND('Listado General'!#REF!,"AAAAAHPzjKU=")</f>
        <v>#REF!</v>
      </c>
      <c r="FK32" t="e">
        <f>AND('Listado General'!#REF!,"AAAAAHPzjKY=")</f>
        <v>#REF!</v>
      </c>
      <c r="FL32" t="e">
        <f>AND('Listado General'!#REF!,"AAAAAHPzjKc=")</f>
        <v>#REF!</v>
      </c>
      <c r="FM32" t="e">
        <f>AND('Listado General'!#REF!,"AAAAAHPzjKg=")</f>
        <v>#REF!</v>
      </c>
      <c r="FN32" t="e">
        <f>IF('Listado General'!#REF!,"AAAAAHPzjKk=",0)</f>
        <v>#REF!</v>
      </c>
      <c r="FO32" t="e">
        <f>AND('Listado General'!#REF!,"AAAAAHPzjKo=")</f>
        <v>#REF!</v>
      </c>
      <c r="FP32" t="e">
        <f>AND('Listado General'!#REF!,"AAAAAHPzjKs=")</f>
        <v>#REF!</v>
      </c>
      <c r="FQ32" t="e">
        <f>AND('Listado General'!#REF!,"AAAAAHPzjKw=")</f>
        <v>#REF!</v>
      </c>
      <c r="FR32" t="e">
        <f>AND('Listado General'!#REF!,"AAAAAHPzjK0=")</f>
        <v>#REF!</v>
      </c>
      <c r="FS32" t="e">
        <f>AND('Listado General'!#REF!,"AAAAAHPzjK4=")</f>
        <v>#REF!</v>
      </c>
      <c r="FT32" t="e">
        <f>AND('Listado General'!#REF!,"AAAAAHPzjK8=")</f>
        <v>#REF!</v>
      </c>
      <c r="FU32" t="e">
        <f>AND('Listado General'!#REF!,"AAAAAHPzjLA=")</f>
        <v>#REF!</v>
      </c>
      <c r="FV32" t="e">
        <f>AND('Listado General'!#REF!,"AAAAAHPzjLE=")</f>
        <v>#REF!</v>
      </c>
      <c r="FW32" t="e">
        <f>AND('Listado General'!#REF!,"AAAAAHPzjLI=")</f>
        <v>#REF!</v>
      </c>
      <c r="FX32" t="e">
        <f>IF('Listado General'!#REF!,"AAAAAHPzjLM=",0)</f>
        <v>#REF!</v>
      </c>
      <c r="FY32" t="e">
        <f>AND('Listado General'!#REF!,"AAAAAHPzjLQ=")</f>
        <v>#REF!</v>
      </c>
      <c r="FZ32" t="e">
        <f>AND('Listado General'!#REF!,"AAAAAHPzjLU=")</f>
        <v>#REF!</v>
      </c>
      <c r="GA32" t="e">
        <f>AND('Listado General'!#REF!,"AAAAAHPzjLY=")</f>
        <v>#REF!</v>
      </c>
      <c r="GB32" t="e">
        <f>AND('Listado General'!#REF!,"AAAAAHPzjLc=")</f>
        <v>#REF!</v>
      </c>
      <c r="GC32" t="e">
        <f>AND('Listado General'!#REF!,"AAAAAHPzjLg=")</f>
        <v>#REF!</v>
      </c>
      <c r="GD32" t="e">
        <f>AND('Listado General'!#REF!,"AAAAAHPzjLk=")</f>
        <v>#REF!</v>
      </c>
      <c r="GE32" t="e">
        <f>AND('Listado General'!#REF!,"AAAAAHPzjLo=")</f>
        <v>#REF!</v>
      </c>
      <c r="GF32" t="e">
        <f>AND('Listado General'!#REF!,"AAAAAHPzjLs=")</f>
        <v>#REF!</v>
      </c>
      <c r="GG32" t="e">
        <f>AND('Listado General'!#REF!,"AAAAAHPzjLw=")</f>
        <v>#REF!</v>
      </c>
      <c r="GH32" t="e">
        <f>IF('Listado General'!#REF!,"AAAAAHPzjL0=",0)</f>
        <v>#REF!</v>
      </c>
      <c r="GI32" t="e">
        <f>AND('Listado General'!#REF!,"AAAAAHPzjL4=")</f>
        <v>#REF!</v>
      </c>
      <c r="GJ32" t="e">
        <f>AND('Listado General'!#REF!,"AAAAAHPzjL8=")</f>
        <v>#REF!</v>
      </c>
      <c r="GK32" t="e">
        <f>AND('Listado General'!#REF!,"AAAAAHPzjMA=")</f>
        <v>#REF!</v>
      </c>
      <c r="GL32" t="e">
        <f>AND('Listado General'!#REF!,"AAAAAHPzjME=")</f>
        <v>#REF!</v>
      </c>
      <c r="GM32" t="e">
        <f>AND('Listado General'!#REF!,"AAAAAHPzjMI=")</f>
        <v>#REF!</v>
      </c>
      <c r="GN32" t="e">
        <f>AND('Listado General'!#REF!,"AAAAAHPzjMM=")</f>
        <v>#REF!</v>
      </c>
      <c r="GO32" t="e">
        <f>AND('Listado General'!#REF!,"AAAAAHPzjMQ=")</f>
        <v>#REF!</v>
      </c>
      <c r="GP32" t="e">
        <f>AND('Listado General'!#REF!,"AAAAAHPzjMU=")</f>
        <v>#REF!</v>
      </c>
      <c r="GQ32" t="e">
        <f>AND('Listado General'!#REF!,"AAAAAHPzjMY=")</f>
        <v>#REF!</v>
      </c>
      <c r="GR32" t="e">
        <f>IF('Listado General'!#REF!,"AAAAAHPzjMc=",0)</f>
        <v>#REF!</v>
      </c>
      <c r="GS32" t="e">
        <f>AND('Listado General'!#REF!,"AAAAAHPzjMg=")</f>
        <v>#REF!</v>
      </c>
      <c r="GT32" t="e">
        <f>AND('Listado General'!#REF!,"AAAAAHPzjMk=")</f>
        <v>#REF!</v>
      </c>
      <c r="GU32" t="e">
        <f>AND('Listado General'!#REF!,"AAAAAHPzjMo=")</f>
        <v>#REF!</v>
      </c>
      <c r="GV32" t="e">
        <f>AND('Listado General'!#REF!,"AAAAAHPzjMs=")</f>
        <v>#REF!</v>
      </c>
      <c r="GW32" t="e">
        <f>AND('Listado General'!#REF!,"AAAAAHPzjMw=")</f>
        <v>#REF!</v>
      </c>
      <c r="GX32" t="e">
        <f>AND('Listado General'!#REF!,"AAAAAHPzjM0=")</f>
        <v>#REF!</v>
      </c>
      <c r="GY32" t="e">
        <f>AND('Listado General'!#REF!,"AAAAAHPzjM4=")</f>
        <v>#REF!</v>
      </c>
      <c r="GZ32" t="e">
        <f>AND('Listado General'!#REF!,"AAAAAHPzjM8=")</f>
        <v>#REF!</v>
      </c>
      <c r="HA32" t="e">
        <f>AND('Listado General'!#REF!,"AAAAAHPzjNA=")</f>
        <v>#REF!</v>
      </c>
      <c r="HB32" t="e">
        <f>IF('Listado General'!#REF!,"AAAAAHPzjNE=",0)</f>
        <v>#REF!</v>
      </c>
      <c r="HC32" t="e">
        <f>AND('Listado General'!#REF!,"AAAAAHPzjNI=")</f>
        <v>#REF!</v>
      </c>
      <c r="HD32" t="e">
        <f>AND('Listado General'!#REF!,"AAAAAHPzjNM=")</f>
        <v>#REF!</v>
      </c>
      <c r="HE32" t="e">
        <f>AND('Listado General'!#REF!,"AAAAAHPzjNQ=")</f>
        <v>#REF!</v>
      </c>
      <c r="HF32" t="e">
        <f>AND('Listado General'!#REF!,"AAAAAHPzjNU=")</f>
        <v>#REF!</v>
      </c>
      <c r="HG32" t="e">
        <f>AND('Listado General'!#REF!,"AAAAAHPzjNY=")</f>
        <v>#REF!</v>
      </c>
      <c r="HH32" t="e">
        <f>AND('Listado General'!#REF!,"AAAAAHPzjNc=")</f>
        <v>#REF!</v>
      </c>
      <c r="HI32" t="e">
        <f>AND('Listado General'!#REF!,"AAAAAHPzjNg=")</f>
        <v>#REF!</v>
      </c>
      <c r="HJ32" t="e">
        <f>AND('Listado General'!#REF!,"AAAAAHPzjNk=")</f>
        <v>#REF!</v>
      </c>
      <c r="HK32" t="e">
        <f>AND('Listado General'!#REF!,"AAAAAHPzjNo=")</f>
        <v>#REF!</v>
      </c>
      <c r="HL32" t="e">
        <f>IF('Listado General'!#REF!,"AAAAAHPzjNs=",0)</f>
        <v>#REF!</v>
      </c>
      <c r="HM32" t="e">
        <f>AND('Listado General'!#REF!,"AAAAAHPzjNw=")</f>
        <v>#REF!</v>
      </c>
      <c r="HN32" t="e">
        <f>AND('Listado General'!#REF!,"AAAAAHPzjN0=")</f>
        <v>#REF!</v>
      </c>
      <c r="HO32" t="e">
        <f>AND('Listado General'!#REF!,"AAAAAHPzjN4=")</f>
        <v>#REF!</v>
      </c>
      <c r="HP32" t="e">
        <f>AND('Listado General'!#REF!,"AAAAAHPzjN8=")</f>
        <v>#REF!</v>
      </c>
      <c r="HQ32" t="e">
        <f>AND('Listado General'!#REF!,"AAAAAHPzjOA=")</f>
        <v>#REF!</v>
      </c>
      <c r="HR32" t="e">
        <f>AND('Listado General'!#REF!,"AAAAAHPzjOE=")</f>
        <v>#REF!</v>
      </c>
      <c r="HS32" t="e">
        <f>AND('Listado General'!#REF!,"AAAAAHPzjOI=")</f>
        <v>#REF!</v>
      </c>
      <c r="HT32" t="e">
        <f>AND('Listado General'!#REF!,"AAAAAHPzjOM=")</f>
        <v>#REF!</v>
      </c>
      <c r="HU32" t="e">
        <f>AND('Listado General'!#REF!,"AAAAAHPzjOQ=")</f>
        <v>#REF!</v>
      </c>
      <c r="HV32" t="e">
        <f>IF('Listado General'!#REF!,"AAAAAHPzjOU=",0)</f>
        <v>#REF!</v>
      </c>
      <c r="HW32" t="e">
        <f>AND('Listado General'!#REF!,"AAAAAHPzjOY=")</f>
        <v>#REF!</v>
      </c>
      <c r="HX32" t="e">
        <f>AND('Listado General'!#REF!,"AAAAAHPzjOc=")</f>
        <v>#REF!</v>
      </c>
      <c r="HY32" t="e">
        <f>AND('Listado General'!#REF!,"AAAAAHPzjOg=")</f>
        <v>#REF!</v>
      </c>
      <c r="HZ32" t="e">
        <f>AND('Listado General'!#REF!,"AAAAAHPzjOk=")</f>
        <v>#REF!</v>
      </c>
      <c r="IA32" t="e">
        <f>AND('Listado General'!#REF!,"AAAAAHPzjOo=")</f>
        <v>#REF!</v>
      </c>
      <c r="IB32" t="e">
        <f>AND('Listado General'!#REF!,"AAAAAHPzjOs=")</f>
        <v>#REF!</v>
      </c>
      <c r="IC32" t="e">
        <f>AND('Listado General'!#REF!,"AAAAAHPzjOw=")</f>
        <v>#REF!</v>
      </c>
      <c r="ID32" t="e">
        <f>AND('Listado General'!#REF!,"AAAAAHPzjO0=")</f>
        <v>#REF!</v>
      </c>
      <c r="IE32" t="e">
        <f>AND('Listado General'!#REF!,"AAAAAHPzjO4=")</f>
        <v>#REF!</v>
      </c>
      <c r="IF32" t="e">
        <f>IF('Listado General'!#REF!,"AAAAAHPzjO8=",0)</f>
        <v>#REF!</v>
      </c>
      <c r="IG32" t="e">
        <f>AND('Listado General'!#REF!,"AAAAAHPzjPA=")</f>
        <v>#REF!</v>
      </c>
      <c r="IH32" t="e">
        <f>AND('Listado General'!#REF!,"AAAAAHPzjPE=")</f>
        <v>#REF!</v>
      </c>
      <c r="II32" t="e">
        <f>AND('Listado General'!#REF!,"AAAAAHPzjPI=")</f>
        <v>#REF!</v>
      </c>
      <c r="IJ32" t="e">
        <f>AND('Listado General'!#REF!,"AAAAAHPzjPM=")</f>
        <v>#REF!</v>
      </c>
      <c r="IK32" t="e">
        <f>AND('Listado General'!#REF!,"AAAAAHPzjPQ=")</f>
        <v>#REF!</v>
      </c>
      <c r="IL32" t="e">
        <f>AND('Listado General'!#REF!,"AAAAAHPzjPU=")</f>
        <v>#REF!</v>
      </c>
      <c r="IM32" t="e">
        <f>AND('Listado General'!#REF!,"AAAAAHPzjPY=")</f>
        <v>#REF!</v>
      </c>
      <c r="IN32" t="e">
        <f>AND('Listado General'!#REF!,"AAAAAHPzjPc=")</f>
        <v>#REF!</v>
      </c>
      <c r="IO32" t="e">
        <f>AND('Listado General'!#REF!,"AAAAAHPzjPg=")</f>
        <v>#REF!</v>
      </c>
      <c r="IP32" t="e">
        <f>IF('Listado General'!#REF!,"AAAAAHPzjPk=",0)</f>
        <v>#REF!</v>
      </c>
      <c r="IQ32" t="e">
        <f>AND('Listado General'!#REF!,"AAAAAHPzjPo=")</f>
        <v>#REF!</v>
      </c>
      <c r="IR32" t="e">
        <f>AND('Listado General'!#REF!,"AAAAAHPzjPs=")</f>
        <v>#REF!</v>
      </c>
      <c r="IS32" t="e">
        <f>AND('Listado General'!#REF!,"AAAAAHPzjPw=")</f>
        <v>#REF!</v>
      </c>
      <c r="IT32" t="e">
        <f>AND('Listado General'!#REF!,"AAAAAHPzjP0=")</f>
        <v>#REF!</v>
      </c>
      <c r="IU32" t="e">
        <f>AND('Listado General'!#REF!,"AAAAAHPzjP4=")</f>
        <v>#REF!</v>
      </c>
      <c r="IV32" t="e">
        <f>AND('Listado General'!#REF!,"AAAAAHPzjP8=")</f>
        <v>#REF!</v>
      </c>
    </row>
    <row r="33" spans="1:256" ht="12.75">
      <c r="A33" t="e">
        <f>AND('Listado General'!#REF!,"AAAAAH/57QA=")</f>
        <v>#REF!</v>
      </c>
      <c r="B33" t="e">
        <f>AND('Listado General'!#REF!,"AAAAAH/57QE=")</f>
        <v>#REF!</v>
      </c>
      <c r="C33" t="e">
        <f>AND('Listado General'!#REF!,"AAAAAH/57QI=")</f>
        <v>#REF!</v>
      </c>
      <c r="D33" t="e">
        <f>IF('Listado General'!#REF!,"AAAAAH/57QM=",0)</f>
        <v>#REF!</v>
      </c>
      <c r="E33" t="e">
        <f>AND('Listado General'!#REF!,"AAAAAH/57QQ=")</f>
        <v>#REF!</v>
      </c>
      <c r="F33" t="e">
        <f>AND('Listado General'!#REF!,"AAAAAH/57QU=")</f>
        <v>#REF!</v>
      </c>
      <c r="G33" t="e">
        <f>AND('Listado General'!#REF!,"AAAAAH/57QY=")</f>
        <v>#REF!</v>
      </c>
      <c r="H33" t="e">
        <f>AND('Listado General'!#REF!,"AAAAAH/57Qc=")</f>
        <v>#REF!</v>
      </c>
      <c r="I33" t="e">
        <f>AND('Listado General'!#REF!,"AAAAAH/57Qg=")</f>
        <v>#REF!</v>
      </c>
      <c r="J33" t="e">
        <f>AND('Listado General'!#REF!,"AAAAAH/57Qk=")</f>
        <v>#REF!</v>
      </c>
      <c r="K33" t="e">
        <f>AND('Listado General'!#REF!,"AAAAAH/57Qo=")</f>
        <v>#REF!</v>
      </c>
      <c r="L33" t="e">
        <f>AND('Listado General'!#REF!,"AAAAAH/57Qs=")</f>
        <v>#REF!</v>
      </c>
      <c r="M33" t="e">
        <f>AND('Listado General'!#REF!,"AAAAAH/57Qw=")</f>
        <v>#REF!</v>
      </c>
      <c r="N33" t="e">
        <f>IF('Listado General'!#REF!,"AAAAAH/57Q0=",0)</f>
        <v>#REF!</v>
      </c>
      <c r="O33" t="e">
        <f>AND('Listado General'!#REF!,"AAAAAH/57Q4=")</f>
        <v>#REF!</v>
      </c>
      <c r="P33" t="e">
        <f>AND('Listado General'!#REF!,"AAAAAH/57Q8=")</f>
        <v>#REF!</v>
      </c>
      <c r="Q33" t="e">
        <f>AND('Listado General'!#REF!,"AAAAAH/57RA=")</f>
        <v>#REF!</v>
      </c>
      <c r="R33" t="e">
        <f>AND('Listado General'!#REF!,"AAAAAH/57RE=")</f>
        <v>#REF!</v>
      </c>
      <c r="S33" t="e">
        <f>AND('Listado General'!#REF!,"AAAAAH/57RI=")</f>
        <v>#REF!</v>
      </c>
      <c r="T33" t="e">
        <f>AND('Listado General'!#REF!,"AAAAAH/57RM=")</f>
        <v>#REF!</v>
      </c>
      <c r="U33" t="e">
        <f>AND('Listado General'!#REF!,"AAAAAH/57RQ=")</f>
        <v>#REF!</v>
      </c>
      <c r="V33" t="e">
        <f>AND('Listado General'!#REF!,"AAAAAH/57RU=")</f>
        <v>#REF!</v>
      </c>
      <c r="W33" t="e">
        <f>AND('Listado General'!#REF!,"AAAAAH/57RY=")</f>
        <v>#REF!</v>
      </c>
      <c r="X33" t="e">
        <f>IF('Listado General'!#REF!,"AAAAAH/57Rc=",0)</f>
        <v>#REF!</v>
      </c>
      <c r="Y33" t="e">
        <f>AND('Listado General'!#REF!,"AAAAAH/57Rg=")</f>
        <v>#REF!</v>
      </c>
      <c r="Z33" t="e">
        <f>AND('Listado General'!#REF!,"AAAAAH/57Rk=")</f>
        <v>#REF!</v>
      </c>
      <c r="AA33" t="e">
        <f>AND('Listado General'!#REF!,"AAAAAH/57Ro=")</f>
        <v>#REF!</v>
      </c>
      <c r="AB33" t="e">
        <f>AND('Listado General'!#REF!,"AAAAAH/57Rs=")</f>
        <v>#REF!</v>
      </c>
      <c r="AC33" t="e">
        <f>AND('Listado General'!#REF!,"AAAAAH/57Rw=")</f>
        <v>#REF!</v>
      </c>
      <c r="AD33" t="e">
        <f>AND('Listado General'!#REF!,"AAAAAH/57R0=")</f>
        <v>#REF!</v>
      </c>
      <c r="AE33" t="e">
        <f>AND('Listado General'!#REF!,"AAAAAH/57R4=")</f>
        <v>#REF!</v>
      </c>
      <c r="AF33" t="e">
        <f>AND('Listado General'!#REF!,"AAAAAH/57R8=")</f>
        <v>#REF!</v>
      </c>
      <c r="AG33" t="e">
        <f>AND('Listado General'!#REF!,"AAAAAH/57SA=")</f>
        <v>#REF!</v>
      </c>
      <c r="AH33" t="e">
        <f>IF('Listado General'!#REF!,"AAAAAH/57SE=",0)</f>
        <v>#REF!</v>
      </c>
      <c r="AI33" t="e">
        <f>AND('Listado General'!#REF!,"AAAAAH/57SI=")</f>
        <v>#REF!</v>
      </c>
      <c r="AJ33" t="e">
        <f>AND('Listado General'!#REF!,"AAAAAH/57SM=")</f>
        <v>#REF!</v>
      </c>
      <c r="AK33" t="e">
        <f>AND('Listado General'!#REF!,"AAAAAH/57SQ=")</f>
        <v>#REF!</v>
      </c>
      <c r="AL33" t="e">
        <f>AND('Listado General'!#REF!,"AAAAAH/57SU=")</f>
        <v>#REF!</v>
      </c>
      <c r="AM33" t="e">
        <f>AND('Listado General'!#REF!,"AAAAAH/57SY=")</f>
        <v>#REF!</v>
      </c>
      <c r="AN33" t="e">
        <f>AND('Listado General'!#REF!,"AAAAAH/57Sc=")</f>
        <v>#REF!</v>
      </c>
      <c r="AO33" t="e">
        <f>AND('Listado General'!#REF!,"AAAAAH/57Sg=")</f>
        <v>#REF!</v>
      </c>
      <c r="AP33" t="e">
        <f>AND('Listado General'!#REF!,"AAAAAH/57Sk=")</f>
        <v>#REF!</v>
      </c>
      <c r="AQ33" t="e">
        <f>AND('Listado General'!#REF!,"AAAAAH/57So=")</f>
        <v>#REF!</v>
      </c>
      <c r="AR33" t="e">
        <f>IF('Listado General'!#REF!,"AAAAAH/57Ss=",0)</f>
        <v>#REF!</v>
      </c>
      <c r="AS33" t="e">
        <f>AND('Listado General'!#REF!,"AAAAAH/57Sw=")</f>
        <v>#REF!</v>
      </c>
      <c r="AT33" t="e">
        <f>AND('Listado General'!#REF!,"AAAAAH/57S0=")</f>
        <v>#REF!</v>
      </c>
      <c r="AU33" t="e">
        <f>AND('Listado General'!#REF!,"AAAAAH/57S4=")</f>
        <v>#REF!</v>
      </c>
      <c r="AV33" t="e">
        <f>AND('Listado General'!#REF!,"AAAAAH/57S8=")</f>
        <v>#REF!</v>
      </c>
      <c r="AW33" t="e">
        <f>AND('Listado General'!#REF!,"AAAAAH/57TA=")</f>
        <v>#REF!</v>
      </c>
      <c r="AX33" t="e">
        <f>AND('Listado General'!#REF!,"AAAAAH/57TE=")</f>
        <v>#REF!</v>
      </c>
      <c r="AY33" t="e">
        <f>AND('Listado General'!#REF!,"AAAAAH/57TI=")</f>
        <v>#REF!</v>
      </c>
      <c r="AZ33" t="e">
        <f>AND('Listado General'!#REF!,"AAAAAH/57TM=")</f>
        <v>#REF!</v>
      </c>
      <c r="BA33" t="e">
        <f>AND('Listado General'!#REF!,"AAAAAH/57TQ=")</f>
        <v>#REF!</v>
      </c>
      <c r="BB33" t="e">
        <f>IF('Listado General'!#REF!,"AAAAAH/57TU=",0)</f>
        <v>#REF!</v>
      </c>
      <c r="BC33" t="e">
        <f>AND('Listado General'!#REF!,"AAAAAH/57TY=")</f>
        <v>#REF!</v>
      </c>
      <c r="BD33" t="e">
        <f>AND('Listado General'!#REF!,"AAAAAH/57Tc=")</f>
        <v>#REF!</v>
      </c>
      <c r="BE33" t="e">
        <f>AND('Listado General'!#REF!,"AAAAAH/57Tg=")</f>
        <v>#REF!</v>
      </c>
      <c r="BF33" t="e">
        <f>AND('Listado General'!#REF!,"AAAAAH/57Tk=")</f>
        <v>#REF!</v>
      </c>
      <c r="BG33" t="e">
        <f>AND('Listado General'!#REF!,"AAAAAH/57To=")</f>
        <v>#REF!</v>
      </c>
      <c r="BH33" t="e">
        <f>AND('Listado General'!#REF!,"AAAAAH/57Ts=")</f>
        <v>#REF!</v>
      </c>
      <c r="BI33" t="e">
        <f>AND('Listado General'!#REF!,"AAAAAH/57Tw=")</f>
        <v>#REF!</v>
      </c>
      <c r="BJ33" t="e">
        <f>AND('Listado General'!#REF!,"AAAAAH/57T0=")</f>
        <v>#REF!</v>
      </c>
      <c r="BK33" t="e">
        <f>AND('Listado General'!#REF!,"AAAAAH/57T4=")</f>
        <v>#REF!</v>
      </c>
      <c r="BL33" t="e">
        <f>IF('Listado General'!#REF!,"AAAAAH/57T8=",0)</f>
        <v>#REF!</v>
      </c>
      <c r="BM33" t="e">
        <f>AND('Listado General'!#REF!,"AAAAAH/57UA=")</f>
        <v>#REF!</v>
      </c>
      <c r="BN33" t="e">
        <f>AND('Listado General'!#REF!,"AAAAAH/57UE=")</f>
        <v>#REF!</v>
      </c>
      <c r="BO33" t="e">
        <f>AND('Listado General'!#REF!,"AAAAAH/57UI=")</f>
        <v>#REF!</v>
      </c>
      <c r="BP33" t="e">
        <f>AND('Listado General'!#REF!,"AAAAAH/57UM=")</f>
        <v>#REF!</v>
      </c>
      <c r="BQ33" t="e">
        <f>AND('Listado General'!#REF!,"AAAAAH/57UQ=")</f>
        <v>#REF!</v>
      </c>
      <c r="BR33" t="e">
        <f>AND('Listado General'!#REF!,"AAAAAH/57UU=")</f>
        <v>#REF!</v>
      </c>
      <c r="BS33" t="e">
        <f>AND('Listado General'!#REF!,"AAAAAH/57UY=")</f>
        <v>#REF!</v>
      </c>
      <c r="BT33" t="e">
        <f>AND('Listado General'!#REF!,"AAAAAH/57Uc=")</f>
        <v>#REF!</v>
      </c>
      <c r="BU33" t="e">
        <f>AND('Listado General'!#REF!,"AAAAAH/57Ug=")</f>
        <v>#REF!</v>
      </c>
      <c r="BV33" t="e">
        <f>IF('Listado General'!#REF!,"AAAAAH/57Uk=",0)</f>
        <v>#REF!</v>
      </c>
      <c r="BW33" t="e">
        <f>AND('Listado General'!#REF!,"AAAAAH/57Uo=")</f>
        <v>#REF!</v>
      </c>
      <c r="BX33" t="e">
        <f>AND('Listado General'!#REF!,"AAAAAH/57Us=")</f>
        <v>#REF!</v>
      </c>
      <c r="BY33" t="e">
        <f>AND('Listado General'!#REF!,"AAAAAH/57Uw=")</f>
        <v>#REF!</v>
      </c>
      <c r="BZ33" t="e">
        <f>AND('Listado General'!#REF!,"AAAAAH/57U0=")</f>
        <v>#REF!</v>
      </c>
      <c r="CA33" t="e">
        <f>AND('Listado General'!#REF!,"AAAAAH/57U4=")</f>
        <v>#REF!</v>
      </c>
      <c r="CB33" t="e">
        <f>AND('Listado General'!#REF!,"AAAAAH/57U8=")</f>
        <v>#REF!</v>
      </c>
      <c r="CC33" t="e">
        <f>AND('Listado General'!#REF!,"AAAAAH/57VA=")</f>
        <v>#REF!</v>
      </c>
      <c r="CD33" t="e">
        <f>AND('Listado General'!#REF!,"AAAAAH/57VE=")</f>
        <v>#REF!</v>
      </c>
      <c r="CE33" t="e">
        <f>AND('Listado General'!#REF!,"AAAAAH/57VI=")</f>
        <v>#REF!</v>
      </c>
      <c r="CF33" t="e">
        <f>IF('Listado General'!#REF!,"AAAAAH/57VM=",0)</f>
        <v>#REF!</v>
      </c>
      <c r="CG33" t="e">
        <f>AND('Listado General'!#REF!,"AAAAAH/57VQ=")</f>
        <v>#REF!</v>
      </c>
      <c r="CH33" t="e">
        <f>AND('Listado General'!#REF!,"AAAAAH/57VU=")</f>
        <v>#REF!</v>
      </c>
      <c r="CI33" t="e">
        <f>AND('Listado General'!#REF!,"AAAAAH/57VY=")</f>
        <v>#REF!</v>
      </c>
      <c r="CJ33" t="e">
        <f>AND('Listado General'!#REF!,"AAAAAH/57Vc=")</f>
        <v>#REF!</v>
      </c>
      <c r="CK33" t="e">
        <f>AND('Listado General'!#REF!,"AAAAAH/57Vg=")</f>
        <v>#REF!</v>
      </c>
      <c r="CL33" t="e">
        <f>AND('Listado General'!#REF!,"AAAAAH/57Vk=")</f>
        <v>#REF!</v>
      </c>
      <c r="CM33" t="e">
        <f>AND('Listado General'!#REF!,"AAAAAH/57Vo=")</f>
        <v>#REF!</v>
      </c>
      <c r="CN33" t="e">
        <f>AND('Listado General'!#REF!,"AAAAAH/57Vs=")</f>
        <v>#REF!</v>
      </c>
      <c r="CO33" t="e">
        <f>AND('Listado General'!#REF!,"AAAAAH/57Vw=")</f>
        <v>#REF!</v>
      </c>
      <c r="CP33" t="e">
        <f>IF('Listado General'!#REF!,"AAAAAH/57V0=",0)</f>
        <v>#REF!</v>
      </c>
      <c r="CQ33" t="e">
        <f>AND('Listado General'!#REF!,"AAAAAH/57V4=")</f>
        <v>#REF!</v>
      </c>
      <c r="CR33" t="e">
        <f>AND('Listado General'!#REF!,"AAAAAH/57V8=")</f>
        <v>#REF!</v>
      </c>
      <c r="CS33" t="e">
        <f>AND('Listado General'!#REF!,"AAAAAH/57WA=")</f>
        <v>#REF!</v>
      </c>
      <c r="CT33" t="e">
        <f>AND('Listado General'!#REF!,"AAAAAH/57WE=")</f>
        <v>#REF!</v>
      </c>
      <c r="CU33" t="e">
        <f>AND('Listado General'!#REF!,"AAAAAH/57WI=")</f>
        <v>#REF!</v>
      </c>
      <c r="CV33" t="e">
        <f>AND('Listado General'!#REF!,"AAAAAH/57WM=")</f>
        <v>#REF!</v>
      </c>
      <c r="CW33" t="e">
        <f>AND('Listado General'!#REF!,"AAAAAH/57WQ=")</f>
        <v>#REF!</v>
      </c>
      <c r="CX33" t="e">
        <f>AND('Listado General'!#REF!,"AAAAAH/57WU=")</f>
        <v>#REF!</v>
      </c>
      <c r="CY33" t="e">
        <f>AND('Listado General'!#REF!,"AAAAAH/57WY=")</f>
        <v>#REF!</v>
      </c>
      <c r="CZ33" t="e">
        <f>IF('Listado General'!#REF!,"AAAAAH/57Wc=",0)</f>
        <v>#REF!</v>
      </c>
      <c r="DA33" t="e">
        <f>AND('Listado General'!#REF!,"AAAAAH/57Wg=")</f>
        <v>#REF!</v>
      </c>
      <c r="DB33" t="e">
        <f>AND('Listado General'!#REF!,"AAAAAH/57Wk=")</f>
        <v>#REF!</v>
      </c>
      <c r="DC33" t="e">
        <f>AND('Listado General'!#REF!,"AAAAAH/57Wo=")</f>
        <v>#REF!</v>
      </c>
      <c r="DD33" t="e">
        <f>AND('Listado General'!#REF!,"AAAAAH/57Ws=")</f>
        <v>#REF!</v>
      </c>
      <c r="DE33" t="e">
        <f>AND('Listado General'!#REF!,"AAAAAH/57Ww=")</f>
        <v>#REF!</v>
      </c>
      <c r="DF33" t="e">
        <f>AND('Listado General'!#REF!,"AAAAAH/57W0=")</f>
        <v>#REF!</v>
      </c>
      <c r="DG33" t="e">
        <f>AND('Listado General'!#REF!,"AAAAAH/57W4=")</f>
        <v>#REF!</v>
      </c>
      <c r="DH33" t="e">
        <f>AND('Listado General'!#REF!,"AAAAAH/57W8=")</f>
        <v>#REF!</v>
      </c>
      <c r="DI33" t="e">
        <f>AND('Listado General'!#REF!,"AAAAAH/57XA=")</f>
        <v>#REF!</v>
      </c>
      <c r="DJ33" t="e">
        <f>IF('Listado General'!#REF!,"AAAAAH/57XE=",0)</f>
        <v>#REF!</v>
      </c>
      <c r="DK33" t="e">
        <f>AND('Listado General'!#REF!,"AAAAAH/57XI=")</f>
        <v>#REF!</v>
      </c>
      <c r="DL33" t="e">
        <f>AND('Listado General'!#REF!,"AAAAAH/57XM=")</f>
        <v>#REF!</v>
      </c>
      <c r="DM33" t="e">
        <f>AND('Listado General'!#REF!,"AAAAAH/57XQ=")</f>
        <v>#REF!</v>
      </c>
      <c r="DN33" t="e">
        <f>AND('Listado General'!#REF!,"AAAAAH/57XU=")</f>
        <v>#REF!</v>
      </c>
      <c r="DO33" t="e">
        <f>AND('Listado General'!#REF!,"AAAAAH/57XY=")</f>
        <v>#REF!</v>
      </c>
      <c r="DP33" t="e">
        <f>AND('Listado General'!#REF!,"AAAAAH/57Xc=")</f>
        <v>#REF!</v>
      </c>
      <c r="DQ33" t="e">
        <f>AND('Listado General'!#REF!,"AAAAAH/57Xg=")</f>
        <v>#REF!</v>
      </c>
      <c r="DR33" t="e">
        <f>AND('Listado General'!#REF!,"AAAAAH/57Xk=")</f>
        <v>#REF!</v>
      </c>
      <c r="DS33" t="e">
        <f>AND('Listado General'!#REF!,"AAAAAH/57Xo=")</f>
        <v>#REF!</v>
      </c>
      <c r="DT33" t="e">
        <f>IF('Listado General'!#REF!,"AAAAAH/57Xs=",0)</f>
        <v>#REF!</v>
      </c>
      <c r="DU33" t="e">
        <f>AND('Listado General'!#REF!,"AAAAAH/57Xw=")</f>
        <v>#REF!</v>
      </c>
      <c r="DV33" t="e">
        <f>AND('Listado General'!#REF!,"AAAAAH/57X0=")</f>
        <v>#REF!</v>
      </c>
      <c r="DW33" t="e">
        <f>AND('Listado General'!#REF!,"AAAAAH/57X4=")</f>
        <v>#REF!</v>
      </c>
      <c r="DX33" t="e">
        <f>AND('Listado General'!#REF!,"AAAAAH/57X8=")</f>
        <v>#REF!</v>
      </c>
      <c r="DY33" t="e">
        <f>AND('Listado General'!#REF!,"AAAAAH/57YA=")</f>
        <v>#REF!</v>
      </c>
      <c r="DZ33" t="e">
        <f>AND('Listado General'!#REF!,"AAAAAH/57YE=")</f>
        <v>#REF!</v>
      </c>
      <c r="EA33" t="e">
        <f>AND('Listado General'!#REF!,"AAAAAH/57YI=")</f>
        <v>#REF!</v>
      </c>
      <c r="EB33" t="e">
        <f>AND('Listado General'!#REF!,"AAAAAH/57YM=")</f>
        <v>#REF!</v>
      </c>
      <c r="EC33" t="e">
        <f>AND('Listado General'!#REF!,"AAAAAH/57YQ=")</f>
        <v>#REF!</v>
      </c>
      <c r="ED33" t="e">
        <f>IF('Listado General'!#REF!,"AAAAAH/57YU=",0)</f>
        <v>#REF!</v>
      </c>
      <c r="EE33" t="e">
        <f>AND('Listado General'!#REF!,"AAAAAH/57YY=")</f>
        <v>#REF!</v>
      </c>
      <c r="EF33" t="e">
        <f>AND('Listado General'!#REF!,"AAAAAH/57Yc=")</f>
        <v>#REF!</v>
      </c>
      <c r="EG33" t="e">
        <f>AND('Listado General'!#REF!,"AAAAAH/57Yg=")</f>
        <v>#REF!</v>
      </c>
      <c r="EH33" t="e">
        <f>AND('Listado General'!#REF!,"AAAAAH/57Yk=")</f>
        <v>#REF!</v>
      </c>
      <c r="EI33" t="e">
        <f>AND('Listado General'!#REF!,"AAAAAH/57Yo=")</f>
        <v>#REF!</v>
      </c>
      <c r="EJ33" t="e">
        <f>AND('Listado General'!#REF!,"AAAAAH/57Ys=")</f>
        <v>#REF!</v>
      </c>
      <c r="EK33" t="e">
        <f>AND('Listado General'!#REF!,"AAAAAH/57Yw=")</f>
        <v>#REF!</v>
      </c>
      <c r="EL33" t="e">
        <f>AND('Listado General'!#REF!,"AAAAAH/57Y0=")</f>
        <v>#REF!</v>
      </c>
      <c r="EM33" t="e">
        <f>AND('Listado General'!#REF!,"AAAAAH/57Y4=")</f>
        <v>#REF!</v>
      </c>
      <c r="EN33" t="e">
        <f>IF('Listado General'!#REF!,"AAAAAH/57Y8=",0)</f>
        <v>#REF!</v>
      </c>
      <c r="EO33" t="e">
        <f>AND('Listado General'!#REF!,"AAAAAH/57ZA=")</f>
        <v>#REF!</v>
      </c>
      <c r="EP33" t="e">
        <f>AND('Listado General'!#REF!,"AAAAAH/57ZE=")</f>
        <v>#REF!</v>
      </c>
      <c r="EQ33" t="e">
        <f>AND('Listado General'!#REF!,"AAAAAH/57ZI=")</f>
        <v>#REF!</v>
      </c>
      <c r="ER33" t="e">
        <f>AND('Listado General'!#REF!,"AAAAAH/57ZM=")</f>
        <v>#REF!</v>
      </c>
      <c r="ES33" t="e">
        <f>AND('Listado General'!#REF!,"AAAAAH/57ZQ=")</f>
        <v>#REF!</v>
      </c>
      <c r="ET33" t="e">
        <f>AND('Listado General'!#REF!,"AAAAAH/57ZU=")</f>
        <v>#REF!</v>
      </c>
      <c r="EU33" t="e">
        <f>AND('Listado General'!#REF!,"AAAAAH/57ZY=")</f>
        <v>#REF!</v>
      </c>
      <c r="EV33" t="e">
        <f>AND('Listado General'!#REF!,"AAAAAH/57Zc=")</f>
        <v>#REF!</v>
      </c>
      <c r="EW33" t="e">
        <f>AND('Listado General'!#REF!,"AAAAAH/57Zg=")</f>
        <v>#REF!</v>
      </c>
      <c r="EX33" t="e">
        <f>IF('Listado General'!#REF!,"AAAAAH/57Zk=",0)</f>
        <v>#REF!</v>
      </c>
      <c r="EY33" t="e">
        <f>AND('Listado General'!#REF!,"AAAAAH/57Zo=")</f>
        <v>#REF!</v>
      </c>
      <c r="EZ33" t="e">
        <f>AND('Listado General'!#REF!,"AAAAAH/57Zs=")</f>
        <v>#REF!</v>
      </c>
      <c r="FA33" t="e">
        <f>AND('Listado General'!#REF!,"AAAAAH/57Zw=")</f>
        <v>#REF!</v>
      </c>
      <c r="FB33" t="e">
        <f>AND('Listado General'!#REF!,"AAAAAH/57Z0=")</f>
        <v>#REF!</v>
      </c>
      <c r="FC33" t="e">
        <f>AND('Listado General'!#REF!,"AAAAAH/57Z4=")</f>
        <v>#REF!</v>
      </c>
      <c r="FD33" t="e">
        <f>AND('Listado General'!#REF!,"AAAAAH/57Z8=")</f>
        <v>#REF!</v>
      </c>
      <c r="FE33" t="e">
        <f>AND('Listado General'!#REF!,"AAAAAH/57aA=")</f>
        <v>#REF!</v>
      </c>
      <c r="FF33" t="e">
        <f>AND('Listado General'!#REF!,"AAAAAH/57aE=")</f>
        <v>#REF!</v>
      </c>
      <c r="FG33" t="e">
        <f>AND('Listado General'!#REF!,"AAAAAH/57aI=")</f>
        <v>#REF!</v>
      </c>
      <c r="FH33" t="e">
        <f>IF('Listado General'!#REF!,"AAAAAH/57aM=",0)</f>
        <v>#REF!</v>
      </c>
      <c r="FI33" t="e">
        <f>AND('Listado General'!#REF!,"AAAAAH/57aQ=")</f>
        <v>#REF!</v>
      </c>
      <c r="FJ33" t="e">
        <f>AND('Listado General'!#REF!,"AAAAAH/57aU=")</f>
        <v>#REF!</v>
      </c>
      <c r="FK33" t="e">
        <f>AND('Listado General'!#REF!,"AAAAAH/57aY=")</f>
        <v>#REF!</v>
      </c>
      <c r="FL33" t="e">
        <f>AND('Listado General'!#REF!,"AAAAAH/57ac=")</f>
        <v>#REF!</v>
      </c>
      <c r="FM33" t="e">
        <f>AND('Listado General'!#REF!,"AAAAAH/57ag=")</f>
        <v>#REF!</v>
      </c>
      <c r="FN33" t="e">
        <f>AND('Listado General'!#REF!,"AAAAAH/57ak=")</f>
        <v>#REF!</v>
      </c>
      <c r="FO33" t="e">
        <f>AND('Listado General'!#REF!,"AAAAAH/57ao=")</f>
        <v>#REF!</v>
      </c>
      <c r="FP33" t="e">
        <f>AND('Listado General'!#REF!,"AAAAAH/57as=")</f>
        <v>#REF!</v>
      </c>
      <c r="FQ33" t="e">
        <f>AND('Listado General'!#REF!,"AAAAAH/57aw=")</f>
        <v>#REF!</v>
      </c>
      <c r="FR33" t="e">
        <f>IF('Listado General'!#REF!,"AAAAAH/57a0=",0)</f>
        <v>#REF!</v>
      </c>
      <c r="FS33" t="e">
        <f>AND('Listado General'!#REF!,"AAAAAH/57a4=")</f>
        <v>#REF!</v>
      </c>
      <c r="FT33" t="e">
        <f>AND('Listado General'!#REF!,"AAAAAH/57a8=")</f>
        <v>#REF!</v>
      </c>
      <c r="FU33" t="e">
        <f>AND('Listado General'!#REF!,"AAAAAH/57bA=")</f>
        <v>#REF!</v>
      </c>
      <c r="FV33" t="e">
        <f>AND('Listado General'!#REF!,"AAAAAH/57bE=")</f>
        <v>#REF!</v>
      </c>
      <c r="FW33" t="e">
        <f>AND('Listado General'!#REF!,"AAAAAH/57bI=")</f>
        <v>#REF!</v>
      </c>
      <c r="FX33" t="e">
        <f>AND('Listado General'!#REF!,"AAAAAH/57bM=")</f>
        <v>#REF!</v>
      </c>
      <c r="FY33" t="e">
        <f>AND('Listado General'!#REF!,"AAAAAH/57bQ=")</f>
        <v>#REF!</v>
      </c>
      <c r="FZ33" t="e">
        <f>AND('Listado General'!#REF!,"AAAAAH/57bU=")</f>
        <v>#REF!</v>
      </c>
      <c r="GA33" t="e">
        <f>AND('Listado General'!#REF!,"AAAAAH/57bY=")</f>
        <v>#REF!</v>
      </c>
      <c r="GB33" t="e">
        <f>IF('Listado General'!#REF!,"AAAAAH/57bc=",0)</f>
        <v>#REF!</v>
      </c>
      <c r="GC33" t="e">
        <f>AND('Listado General'!#REF!,"AAAAAH/57bg=")</f>
        <v>#REF!</v>
      </c>
      <c r="GD33" t="e">
        <f>AND('Listado General'!#REF!,"AAAAAH/57bk=")</f>
        <v>#REF!</v>
      </c>
      <c r="GE33" t="e">
        <f>AND('Listado General'!#REF!,"AAAAAH/57bo=")</f>
        <v>#REF!</v>
      </c>
      <c r="GF33" t="e">
        <f>AND('Listado General'!#REF!,"AAAAAH/57bs=")</f>
        <v>#REF!</v>
      </c>
      <c r="GG33" t="e">
        <f>AND('Listado General'!#REF!,"AAAAAH/57bw=")</f>
        <v>#REF!</v>
      </c>
      <c r="GH33" t="e">
        <f>AND('Listado General'!#REF!,"AAAAAH/57b0=")</f>
        <v>#REF!</v>
      </c>
      <c r="GI33" t="e">
        <f>AND('Listado General'!#REF!,"AAAAAH/57b4=")</f>
        <v>#REF!</v>
      </c>
      <c r="GJ33" t="e">
        <f>AND('Listado General'!#REF!,"AAAAAH/57b8=")</f>
        <v>#REF!</v>
      </c>
      <c r="GK33" t="e">
        <f>AND('Listado General'!#REF!,"AAAAAH/57cA=")</f>
        <v>#REF!</v>
      </c>
      <c r="GL33" t="e">
        <f>IF('Listado General'!#REF!,"AAAAAH/57cE=",0)</f>
        <v>#REF!</v>
      </c>
      <c r="GM33" t="e">
        <f>AND('Listado General'!#REF!,"AAAAAH/57cI=")</f>
        <v>#REF!</v>
      </c>
      <c r="GN33" t="e">
        <f>AND('Listado General'!#REF!,"AAAAAH/57cM=")</f>
        <v>#REF!</v>
      </c>
      <c r="GO33" t="e">
        <f>AND('Listado General'!#REF!,"AAAAAH/57cQ=")</f>
        <v>#REF!</v>
      </c>
      <c r="GP33" t="e">
        <f>AND('Listado General'!#REF!,"AAAAAH/57cU=")</f>
        <v>#REF!</v>
      </c>
      <c r="GQ33" t="e">
        <f>AND('Listado General'!#REF!,"AAAAAH/57cY=")</f>
        <v>#REF!</v>
      </c>
      <c r="GR33" t="e">
        <f>AND('Listado General'!#REF!,"AAAAAH/57cc=")</f>
        <v>#REF!</v>
      </c>
      <c r="GS33" t="e">
        <f>AND('Listado General'!#REF!,"AAAAAH/57cg=")</f>
        <v>#REF!</v>
      </c>
      <c r="GT33" t="e">
        <f>AND('Listado General'!#REF!,"AAAAAH/57ck=")</f>
        <v>#REF!</v>
      </c>
      <c r="GU33" t="e">
        <f>AND('Listado General'!#REF!,"AAAAAH/57co=")</f>
        <v>#REF!</v>
      </c>
      <c r="GV33" t="e">
        <f>IF('Listado General'!#REF!,"AAAAAH/57cs=",0)</f>
        <v>#REF!</v>
      </c>
      <c r="GW33" t="e">
        <f>AND('Listado General'!#REF!,"AAAAAH/57cw=")</f>
        <v>#REF!</v>
      </c>
      <c r="GX33" t="e">
        <f>AND('Listado General'!#REF!,"AAAAAH/57c0=")</f>
        <v>#REF!</v>
      </c>
      <c r="GY33" t="e">
        <f>AND('Listado General'!#REF!,"AAAAAH/57c4=")</f>
        <v>#REF!</v>
      </c>
      <c r="GZ33" t="e">
        <f>AND('Listado General'!#REF!,"AAAAAH/57c8=")</f>
        <v>#REF!</v>
      </c>
      <c r="HA33" t="e">
        <f>AND('Listado General'!#REF!,"AAAAAH/57dA=")</f>
        <v>#REF!</v>
      </c>
      <c r="HB33" t="e">
        <f>AND('Listado General'!#REF!,"AAAAAH/57dE=")</f>
        <v>#REF!</v>
      </c>
      <c r="HC33" t="e">
        <f>AND('Listado General'!#REF!,"AAAAAH/57dI=")</f>
        <v>#REF!</v>
      </c>
      <c r="HD33" t="e">
        <f>AND('Listado General'!#REF!,"AAAAAH/57dM=")</f>
        <v>#REF!</v>
      </c>
      <c r="HE33" t="e">
        <f>AND('Listado General'!#REF!,"AAAAAH/57dQ=")</f>
        <v>#REF!</v>
      </c>
      <c r="HF33" t="e">
        <f>IF('Listado General'!#REF!,"AAAAAH/57dU=",0)</f>
        <v>#REF!</v>
      </c>
      <c r="HG33" t="e">
        <f>AND('Listado General'!#REF!,"AAAAAH/57dY=")</f>
        <v>#REF!</v>
      </c>
      <c r="HH33" t="e">
        <f>AND('Listado General'!#REF!,"AAAAAH/57dc=")</f>
        <v>#REF!</v>
      </c>
      <c r="HI33" t="e">
        <f>AND('Listado General'!#REF!,"AAAAAH/57dg=")</f>
        <v>#REF!</v>
      </c>
      <c r="HJ33" t="e">
        <f>AND('Listado General'!#REF!,"AAAAAH/57dk=")</f>
        <v>#REF!</v>
      </c>
      <c r="HK33" t="e">
        <f>AND('Listado General'!#REF!,"AAAAAH/57do=")</f>
        <v>#REF!</v>
      </c>
      <c r="HL33" t="e">
        <f>AND('Listado General'!#REF!,"AAAAAH/57ds=")</f>
        <v>#REF!</v>
      </c>
      <c r="HM33" t="e">
        <f>AND('Listado General'!#REF!,"AAAAAH/57dw=")</f>
        <v>#REF!</v>
      </c>
      <c r="HN33" t="e">
        <f>AND('Listado General'!#REF!,"AAAAAH/57d0=")</f>
        <v>#REF!</v>
      </c>
      <c r="HO33" t="e">
        <f>AND('Listado General'!#REF!,"AAAAAH/57d4=")</f>
        <v>#REF!</v>
      </c>
      <c r="HP33" t="e">
        <f>IF('Listado General'!#REF!,"AAAAAH/57d8=",0)</f>
        <v>#REF!</v>
      </c>
      <c r="HQ33" t="e">
        <f>AND('Listado General'!#REF!,"AAAAAH/57eA=")</f>
        <v>#REF!</v>
      </c>
      <c r="HR33" t="e">
        <f>AND('Listado General'!#REF!,"AAAAAH/57eE=")</f>
        <v>#REF!</v>
      </c>
      <c r="HS33" t="e">
        <f>AND('Listado General'!#REF!,"AAAAAH/57eI=")</f>
        <v>#REF!</v>
      </c>
      <c r="HT33" t="e">
        <f>AND('Listado General'!#REF!,"AAAAAH/57eM=")</f>
        <v>#REF!</v>
      </c>
      <c r="HU33" t="e">
        <f>AND('Listado General'!#REF!,"AAAAAH/57eQ=")</f>
        <v>#REF!</v>
      </c>
      <c r="HV33" t="e">
        <f>AND('Listado General'!#REF!,"AAAAAH/57eU=")</f>
        <v>#REF!</v>
      </c>
      <c r="HW33" t="e">
        <f>AND('Listado General'!#REF!,"AAAAAH/57eY=")</f>
        <v>#REF!</v>
      </c>
      <c r="HX33" t="e">
        <f>AND('Listado General'!#REF!,"AAAAAH/57ec=")</f>
        <v>#REF!</v>
      </c>
      <c r="HY33" t="e">
        <f>AND('Listado General'!#REF!,"AAAAAH/57eg=")</f>
        <v>#REF!</v>
      </c>
      <c r="HZ33" t="e">
        <f>IF('Listado General'!#REF!,"AAAAAH/57ek=",0)</f>
        <v>#REF!</v>
      </c>
      <c r="IA33" t="e">
        <f>AND('Listado General'!#REF!,"AAAAAH/57eo=")</f>
        <v>#REF!</v>
      </c>
      <c r="IB33" t="e">
        <f>AND('Listado General'!#REF!,"AAAAAH/57es=")</f>
        <v>#REF!</v>
      </c>
      <c r="IC33" t="e">
        <f>AND('Listado General'!#REF!,"AAAAAH/57ew=")</f>
        <v>#REF!</v>
      </c>
      <c r="ID33" t="e">
        <f>AND('Listado General'!#REF!,"AAAAAH/57e0=")</f>
        <v>#REF!</v>
      </c>
      <c r="IE33" t="e">
        <f>AND('Listado General'!#REF!,"AAAAAH/57e4=")</f>
        <v>#REF!</v>
      </c>
      <c r="IF33" t="e">
        <f>AND('Listado General'!#REF!,"AAAAAH/57e8=")</f>
        <v>#REF!</v>
      </c>
      <c r="IG33" t="e">
        <f>AND('Listado General'!#REF!,"AAAAAH/57fA=")</f>
        <v>#REF!</v>
      </c>
      <c r="IH33" t="e">
        <f>AND('Listado General'!#REF!,"AAAAAH/57fE=")</f>
        <v>#REF!</v>
      </c>
      <c r="II33" t="e">
        <f>AND('Listado General'!#REF!,"AAAAAH/57fI=")</f>
        <v>#REF!</v>
      </c>
      <c r="IJ33" t="e">
        <f>IF('Listado General'!#REF!,"AAAAAH/57fM=",0)</f>
        <v>#REF!</v>
      </c>
      <c r="IK33" t="e">
        <f>AND('Listado General'!#REF!,"AAAAAH/57fQ=")</f>
        <v>#REF!</v>
      </c>
      <c r="IL33" t="e">
        <f>AND('Listado General'!#REF!,"AAAAAH/57fU=")</f>
        <v>#REF!</v>
      </c>
      <c r="IM33" t="e">
        <f>AND('Listado General'!#REF!,"AAAAAH/57fY=")</f>
        <v>#REF!</v>
      </c>
      <c r="IN33" t="e">
        <f>AND('Listado General'!#REF!,"AAAAAH/57fc=")</f>
        <v>#REF!</v>
      </c>
      <c r="IO33" t="e">
        <f>AND('Listado General'!#REF!,"AAAAAH/57fg=")</f>
        <v>#REF!</v>
      </c>
      <c r="IP33" t="e">
        <f>AND('Listado General'!#REF!,"AAAAAH/57fk=")</f>
        <v>#REF!</v>
      </c>
      <c r="IQ33" t="e">
        <f>AND('Listado General'!#REF!,"AAAAAH/57fo=")</f>
        <v>#REF!</v>
      </c>
      <c r="IR33" t="e">
        <f>AND('Listado General'!#REF!,"AAAAAH/57fs=")</f>
        <v>#REF!</v>
      </c>
      <c r="IS33" t="e">
        <f>AND('Listado General'!#REF!,"AAAAAH/57fw=")</f>
        <v>#REF!</v>
      </c>
      <c r="IT33" t="e">
        <f>IF('Listado General'!#REF!,"AAAAAH/57f0=",0)</f>
        <v>#REF!</v>
      </c>
      <c r="IU33" t="e">
        <f>AND('Listado General'!#REF!,"AAAAAH/57f4=")</f>
        <v>#REF!</v>
      </c>
      <c r="IV33" t="e">
        <f>AND('Listado General'!#REF!,"AAAAAH/57f8=")</f>
        <v>#REF!</v>
      </c>
    </row>
    <row r="34" spans="1:256" ht="12.75">
      <c r="A34" t="e">
        <f>AND('Listado General'!#REF!,"AAAAAD///AA=")</f>
        <v>#REF!</v>
      </c>
      <c r="B34" t="e">
        <f>AND('Listado General'!#REF!,"AAAAAD///AE=")</f>
        <v>#REF!</v>
      </c>
      <c r="C34" t="e">
        <f>AND('Listado General'!#REF!,"AAAAAD///AI=")</f>
        <v>#REF!</v>
      </c>
      <c r="D34" t="e">
        <f>AND('Listado General'!#REF!,"AAAAAD///AM=")</f>
        <v>#REF!</v>
      </c>
      <c r="E34" t="e">
        <f>AND('Listado General'!#REF!,"AAAAAD///AQ=")</f>
        <v>#REF!</v>
      </c>
      <c r="F34" t="e">
        <f>AND('Listado General'!#REF!,"AAAAAD///AU=")</f>
        <v>#REF!</v>
      </c>
      <c r="G34" t="e">
        <f>AND('Listado General'!#REF!,"AAAAAD///AY=")</f>
        <v>#REF!</v>
      </c>
      <c r="H34" t="e">
        <f>IF('Listado General'!#REF!,"AAAAAD///Ac=",0)</f>
        <v>#REF!</v>
      </c>
      <c r="I34" t="e">
        <f>AND('Listado General'!#REF!,"AAAAAD///Ag=")</f>
        <v>#REF!</v>
      </c>
      <c r="J34" t="e">
        <f>AND('Listado General'!#REF!,"AAAAAD///Ak=")</f>
        <v>#REF!</v>
      </c>
      <c r="K34" t="e">
        <f>AND('Listado General'!#REF!,"AAAAAD///Ao=")</f>
        <v>#REF!</v>
      </c>
      <c r="L34" t="e">
        <f>AND('Listado General'!#REF!,"AAAAAD///As=")</f>
        <v>#REF!</v>
      </c>
      <c r="M34" t="e">
        <f>AND('Listado General'!#REF!,"AAAAAD///Aw=")</f>
        <v>#REF!</v>
      </c>
      <c r="N34" t="e">
        <f>AND('Listado General'!#REF!,"AAAAAD///A0=")</f>
        <v>#REF!</v>
      </c>
      <c r="O34" t="e">
        <f>AND('Listado General'!#REF!,"AAAAAD///A4=")</f>
        <v>#REF!</v>
      </c>
      <c r="P34" t="e">
        <f>AND('Listado General'!#REF!,"AAAAAD///A8=")</f>
        <v>#REF!</v>
      </c>
      <c r="Q34" t="e">
        <f>AND('Listado General'!#REF!,"AAAAAD///BA=")</f>
        <v>#REF!</v>
      </c>
      <c r="R34" t="e">
        <f>IF('Listado General'!#REF!,"AAAAAD///BE=",0)</f>
        <v>#REF!</v>
      </c>
      <c r="S34" t="e">
        <f>AND('Listado General'!#REF!,"AAAAAD///BI=")</f>
        <v>#REF!</v>
      </c>
      <c r="T34" t="e">
        <f>AND('Listado General'!#REF!,"AAAAAD///BM=")</f>
        <v>#REF!</v>
      </c>
      <c r="U34" t="e">
        <f>AND('Listado General'!#REF!,"AAAAAD///BQ=")</f>
        <v>#REF!</v>
      </c>
      <c r="V34" t="e">
        <f>AND('Listado General'!#REF!,"AAAAAD///BU=")</f>
        <v>#REF!</v>
      </c>
      <c r="W34" t="e">
        <f>AND('Listado General'!#REF!,"AAAAAD///BY=")</f>
        <v>#REF!</v>
      </c>
      <c r="X34" t="e">
        <f>AND('Listado General'!#REF!,"AAAAAD///Bc=")</f>
        <v>#REF!</v>
      </c>
      <c r="Y34" t="e">
        <f>AND('Listado General'!#REF!,"AAAAAD///Bg=")</f>
        <v>#REF!</v>
      </c>
      <c r="Z34" t="e">
        <f>AND('Listado General'!#REF!,"AAAAAD///Bk=")</f>
        <v>#REF!</v>
      </c>
      <c r="AA34" t="e">
        <f>AND('Listado General'!#REF!,"AAAAAD///Bo=")</f>
        <v>#REF!</v>
      </c>
      <c r="AB34" t="e">
        <f>IF('Listado General'!#REF!,"AAAAAD///Bs=",0)</f>
        <v>#REF!</v>
      </c>
      <c r="AC34" t="e">
        <f>AND('Listado General'!#REF!,"AAAAAD///Bw=")</f>
        <v>#REF!</v>
      </c>
      <c r="AD34" t="e">
        <f>AND('Listado General'!#REF!,"AAAAAD///B0=")</f>
        <v>#REF!</v>
      </c>
      <c r="AE34" t="e">
        <f>AND('Listado General'!#REF!,"AAAAAD///B4=")</f>
        <v>#REF!</v>
      </c>
      <c r="AF34" t="e">
        <f>AND('Listado General'!#REF!,"AAAAAD///B8=")</f>
        <v>#REF!</v>
      </c>
      <c r="AG34" t="e">
        <f>AND('Listado General'!#REF!,"AAAAAD///CA=")</f>
        <v>#REF!</v>
      </c>
      <c r="AH34" t="e">
        <f>AND('Listado General'!#REF!,"AAAAAD///CE=")</f>
        <v>#REF!</v>
      </c>
      <c r="AI34" t="e">
        <f>AND('Listado General'!#REF!,"AAAAAD///CI=")</f>
        <v>#REF!</v>
      </c>
      <c r="AJ34" t="e">
        <f>AND('Listado General'!#REF!,"AAAAAD///CM=")</f>
        <v>#REF!</v>
      </c>
      <c r="AK34" t="e">
        <f>AND('Listado General'!#REF!,"AAAAAD///CQ=")</f>
        <v>#REF!</v>
      </c>
      <c r="AL34" t="e">
        <f>IF('Listado General'!#REF!,"AAAAAD///CU=",0)</f>
        <v>#REF!</v>
      </c>
      <c r="AM34" t="e">
        <f>AND('Listado General'!#REF!,"AAAAAD///CY=")</f>
        <v>#REF!</v>
      </c>
      <c r="AN34" t="e">
        <f>AND('Listado General'!#REF!,"AAAAAD///Cc=")</f>
        <v>#REF!</v>
      </c>
      <c r="AO34" t="e">
        <f>AND('Listado General'!#REF!,"AAAAAD///Cg=")</f>
        <v>#REF!</v>
      </c>
      <c r="AP34" t="e">
        <f>AND('Listado General'!#REF!,"AAAAAD///Ck=")</f>
        <v>#REF!</v>
      </c>
      <c r="AQ34" t="e">
        <f>AND('Listado General'!#REF!,"AAAAAD///Co=")</f>
        <v>#REF!</v>
      </c>
      <c r="AR34" t="e">
        <f>AND('Listado General'!#REF!,"AAAAAD///Cs=")</f>
        <v>#REF!</v>
      </c>
      <c r="AS34" t="e">
        <f>AND('Listado General'!#REF!,"AAAAAD///Cw=")</f>
        <v>#REF!</v>
      </c>
      <c r="AT34" t="e">
        <f>AND('Listado General'!#REF!,"AAAAAD///C0=")</f>
        <v>#REF!</v>
      </c>
      <c r="AU34" t="e">
        <f>AND('Listado General'!#REF!,"AAAAAD///C4=")</f>
        <v>#REF!</v>
      </c>
      <c r="AV34" t="e">
        <f>IF('Listado General'!#REF!,"AAAAAD///C8=",0)</f>
        <v>#REF!</v>
      </c>
      <c r="AW34" t="e">
        <f>AND('Listado General'!#REF!,"AAAAAD///DA=")</f>
        <v>#REF!</v>
      </c>
      <c r="AX34" t="e">
        <f>AND('Listado General'!#REF!,"AAAAAD///DE=")</f>
        <v>#REF!</v>
      </c>
      <c r="AY34" t="e">
        <f>AND('Listado General'!#REF!,"AAAAAD///DI=")</f>
        <v>#REF!</v>
      </c>
      <c r="AZ34" t="e">
        <f>AND('Listado General'!#REF!,"AAAAAD///DM=")</f>
        <v>#REF!</v>
      </c>
      <c r="BA34" t="e">
        <f>AND('Listado General'!#REF!,"AAAAAD///DQ=")</f>
        <v>#REF!</v>
      </c>
      <c r="BB34" t="e">
        <f>AND('Listado General'!#REF!,"AAAAAD///DU=")</f>
        <v>#REF!</v>
      </c>
      <c r="BC34" t="e">
        <f>AND('Listado General'!#REF!,"AAAAAD///DY=")</f>
        <v>#REF!</v>
      </c>
      <c r="BD34" t="e">
        <f>AND('Listado General'!#REF!,"AAAAAD///Dc=")</f>
        <v>#REF!</v>
      </c>
      <c r="BE34" t="e">
        <f>AND('Listado General'!#REF!,"AAAAAD///Dg=")</f>
        <v>#REF!</v>
      </c>
      <c r="BF34" t="e">
        <f>IF('Listado General'!#REF!,"AAAAAD///Dk=",0)</f>
        <v>#REF!</v>
      </c>
      <c r="BG34" t="e">
        <f>AND('Listado General'!#REF!,"AAAAAD///Do=")</f>
        <v>#REF!</v>
      </c>
      <c r="BH34" t="e">
        <f>AND('Listado General'!#REF!,"AAAAAD///Ds=")</f>
        <v>#REF!</v>
      </c>
      <c r="BI34" t="e">
        <f>AND('Listado General'!#REF!,"AAAAAD///Dw=")</f>
        <v>#REF!</v>
      </c>
      <c r="BJ34" t="e">
        <f>AND('Listado General'!#REF!,"AAAAAD///D0=")</f>
        <v>#REF!</v>
      </c>
      <c r="BK34" t="e">
        <f>AND('Listado General'!#REF!,"AAAAAD///D4=")</f>
        <v>#REF!</v>
      </c>
      <c r="BL34" t="e">
        <f>AND('Listado General'!#REF!,"AAAAAD///D8=")</f>
        <v>#REF!</v>
      </c>
      <c r="BM34" t="e">
        <f>AND('Listado General'!#REF!,"AAAAAD///EA=")</f>
        <v>#REF!</v>
      </c>
      <c r="BN34" t="e">
        <f>AND('Listado General'!#REF!,"AAAAAD///EE=")</f>
        <v>#REF!</v>
      </c>
      <c r="BO34" t="e">
        <f>AND('Listado General'!#REF!,"AAAAAD///EI=")</f>
        <v>#REF!</v>
      </c>
      <c r="BP34" t="e">
        <f>IF('Listado General'!#REF!,"AAAAAD///EM=",0)</f>
        <v>#REF!</v>
      </c>
      <c r="BQ34" t="e">
        <f>AND('Listado General'!#REF!,"AAAAAD///EQ=")</f>
        <v>#REF!</v>
      </c>
      <c r="BR34" t="e">
        <f>AND('Listado General'!#REF!,"AAAAAD///EU=")</f>
        <v>#REF!</v>
      </c>
      <c r="BS34" t="e">
        <f>AND('Listado General'!#REF!,"AAAAAD///EY=")</f>
        <v>#REF!</v>
      </c>
      <c r="BT34" t="e">
        <f>AND('Listado General'!#REF!,"AAAAAD///Ec=")</f>
        <v>#REF!</v>
      </c>
      <c r="BU34" t="e">
        <f>AND('Listado General'!#REF!,"AAAAAD///Eg=")</f>
        <v>#REF!</v>
      </c>
      <c r="BV34" t="e">
        <f>AND('Listado General'!#REF!,"AAAAAD///Ek=")</f>
        <v>#REF!</v>
      </c>
      <c r="BW34" t="e">
        <f>AND('Listado General'!#REF!,"AAAAAD///Eo=")</f>
        <v>#REF!</v>
      </c>
      <c r="BX34" t="e">
        <f>AND('Listado General'!#REF!,"AAAAAD///Es=")</f>
        <v>#REF!</v>
      </c>
      <c r="BY34" t="e">
        <f>AND('Listado General'!#REF!,"AAAAAD///Ew=")</f>
        <v>#REF!</v>
      </c>
      <c r="BZ34" t="e">
        <f>IF('Listado General'!#REF!,"AAAAAD///E0=",0)</f>
        <v>#REF!</v>
      </c>
      <c r="CA34" t="e">
        <f>AND('Listado General'!#REF!,"AAAAAD///E4=")</f>
        <v>#REF!</v>
      </c>
      <c r="CB34" t="e">
        <f>AND('Listado General'!#REF!,"AAAAAD///E8=")</f>
        <v>#REF!</v>
      </c>
      <c r="CC34" t="e">
        <f>AND('Listado General'!#REF!,"AAAAAD///FA=")</f>
        <v>#REF!</v>
      </c>
      <c r="CD34" t="e">
        <f>AND('Listado General'!#REF!,"AAAAAD///FE=")</f>
        <v>#REF!</v>
      </c>
      <c r="CE34" t="e">
        <f>AND('Listado General'!#REF!,"AAAAAD///FI=")</f>
        <v>#REF!</v>
      </c>
      <c r="CF34" t="e">
        <f>AND('Listado General'!#REF!,"AAAAAD///FM=")</f>
        <v>#REF!</v>
      </c>
      <c r="CG34" t="e">
        <f>AND('Listado General'!#REF!,"AAAAAD///FQ=")</f>
        <v>#REF!</v>
      </c>
      <c r="CH34" t="e">
        <f>AND('Listado General'!#REF!,"AAAAAD///FU=")</f>
        <v>#REF!</v>
      </c>
      <c r="CI34" t="e">
        <f>AND('Listado General'!#REF!,"AAAAAD///FY=")</f>
        <v>#REF!</v>
      </c>
      <c r="CJ34" t="e">
        <f>IF('Listado General'!#REF!,"AAAAAD///Fc=",0)</f>
        <v>#REF!</v>
      </c>
      <c r="CK34" t="e">
        <f>AND('Listado General'!#REF!,"AAAAAD///Fg=")</f>
        <v>#REF!</v>
      </c>
      <c r="CL34" t="e">
        <f>AND('Listado General'!#REF!,"AAAAAD///Fk=")</f>
        <v>#REF!</v>
      </c>
      <c r="CM34" t="e">
        <f>AND('Listado General'!#REF!,"AAAAAD///Fo=")</f>
        <v>#REF!</v>
      </c>
      <c r="CN34" t="e">
        <f>AND('Listado General'!#REF!,"AAAAAD///Fs=")</f>
        <v>#REF!</v>
      </c>
      <c r="CO34" t="e">
        <f>AND('Listado General'!#REF!,"AAAAAD///Fw=")</f>
        <v>#REF!</v>
      </c>
      <c r="CP34" t="e">
        <f>AND('Listado General'!#REF!,"AAAAAD///F0=")</f>
        <v>#REF!</v>
      </c>
      <c r="CQ34" t="e">
        <f>AND('Listado General'!#REF!,"AAAAAD///F4=")</f>
        <v>#REF!</v>
      </c>
      <c r="CR34" t="e">
        <f>AND('Listado General'!#REF!,"AAAAAD///F8=")</f>
        <v>#REF!</v>
      </c>
      <c r="CS34" t="e">
        <f>AND('Listado General'!#REF!,"AAAAAD///GA=")</f>
        <v>#REF!</v>
      </c>
      <c r="CT34" t="e">
        <f>IF('Listado General'!#REF!,"AAAAAD///GE=",0)</f>
        <v>#REF!</v>
      </c>
      <c r="CU34" t="e">
        <f>AND('Listado General'!#REF!,"AAAAAD///GI=")</f>
        <v>#REF!</v>
      </c>
      <c r="CV34" t="e">
        <f>AND('Listado General'!#REF!,"AAAAAD///GM=")</f>
        <v>#REF!</v>
      </c>
      <c r="CW34" t="e">
        <f>AND('Listado General'!#REF!,"AAAAAD///GQ=")</f>
        <v>#REF!</v>
      </c>
      <c r="CX34" t="e">
        <f>AND('Listado General'!#REF!,"AAAAAD///GU=")</f>
        <v>#REF!</v>
      </c>
      <c r="CY34" t="e">
        <f>AND('Listado General'!#REF!,"AAAAAD///GY=")</f>
        <v>#REF!</v>
      </c>
      <c r="CZ34" t="e">
        <f>AND('Listado General'!#REF!,"AAAAAD///Gc=")</f>
        <v>#REF!</v>
      </c>
      <c r="DA34" t="e">
        <f>AND('Listado General'!#REF!,"AAAAAD///Gg=")</f>
        <v>#REF!</v>
      </c>
      <c r="DB34" t="e">
        <f>AND('Listado General'!#REF!,"AAAAAD///Gk=")</f>
        <v>#REF!</v>
      </c>
      <c r="DC34" t="e">
        <f>AND('Listado General'!#REF!,"AAAAAD///Go=")</f>
        <v>#REF!</v>
      </c>
      <c r="DD34" t="e">
        <f>IF('Listado General'!#REF!,"AAAAAD///Gs=",0)</f>
        <v>#REF!</v>
      </c>
      <c r="DE34" t="e">
        <f>AND('Listado General'!#REF!,"AAAAAD///Gw=")</f>
        <v>#REF!</v>
      </c>
      <c r="DF34" t="e">
        <f>AND('Listado General'!#REF!,"AAAAAD///G0=")</f>
        <v>#REF!</v>
      </c>
      <c r="DG34" t="e">
        <f>AND('Listado General'!#REF!,"AAAAAD///G4=")</f>
        <v>#REF!</v>
      </c>
      <c r="DH34" t="e">
        <f>AND('Listado General'!#REF!,"AAAAAD///G8=")</f>
        <v>#REF!</v>
      </c>
      <c r="DI34" t="e">
        <f>AND('Listado General'!#REF!,"AAAAAD///HA=")</f>
        <v>#REF!</v>
      </c>
      <c r="DJ34" t="e">
        <f>AND('Listado General'!#REF!,"AAAAAD///HE=")</f>
        <v>#REF!</v>
      </c>
      <c r="DK34" t="e">
        <f>AND('Listado General'!#REF!,"AAAAAD///HI=")</f>
        <v>#REF!</v>
      </c>
      <c r="DL34" t="e">
        <f>AND('Listado General'!#REF!,"AAAAAD///HM=")</f>
        <v>#REF!</v>
      </c>
      <c r="DM34" t="e">
        <f>AND('Listado General'!#REF!,"AAAAAD///HQ=")</f>
        <v>#REF!</v>
      </c>
      <c r="DN34" t="e">
        <f>IF('Listado General'!#REF!,"AAAAAD///HU=",0)</f>
        <v>#REF!</v>
      </c>
      <c r="DO34" t="e">
        <f>AND('Listado General'!#REF!,"AAAAAD///HY=")</f>
        <v>#REF!</v>
      </c>
      <c r="DP34" t="e">
        <f>AND('Listado General'!#REF!,"AAAAAD///Hc=")</f>
        <v>#REF!</v>
      </c>
      <c r="DQ34" t="e">
        <f>AND('Listado General'!#REF!,"AAAAAD///Hg=")</f>
        <v>#REF!</v>
      </c>
      <c r="DR34" t="e">
        <f>AND('Listado General'!#REF!,"AAAAAD///Hk=")</f>
        <v>#REF!</v>
      </c>
      <c r="DS34" t="e">
        <f>AND('Listado General'!#REF!,"AAAAAD///Ho=")</f>
        <v>#REF!</v>
      </c>
      <c r="DT34" t="e">
        <f>AND('Listado General'!#REF!,"AAAAAD///Hs=")</f>
        <v>#REF!</v>
      </c>
      <c r="DU34" t="e">
        <f>AND('Listado General'!#REF!,"AAAAAD///Hw=")</f>
        <v>#REF!</v>
      </c>
      <c r="DV34" t="e">
        <f>AND('Listado General'!#REF!,"AAAAAD///H0=")</f>
        <v>#REF!</v>
      </c>
      <c r="DW34" t="e">
        <f>AND('Listado General'!#REF!,"AAAAAD///H4=")</f>
        <v>#REF!</v>
      </c>
      <c r="DX34" t="e">
        <f>IF('Listado General'!#REF!,"AAAAAD///H8=",0)</f>
        <v>#REF!</v>
      </c>
      <c r="DY34" t="e">
        <f>AND('Listado General'!#REF!,"AAAAAD///IA=")</f>
        <v>#REF!</v>
      </c>
      <c r="DZ34" t="e">
        <f>AND('Listado General'!#REF!,"AAAAAD///IE=")</f>
        <v>#REF!</v>
      </c>
      <c r="EA34" t="e">
        <f>AND('Listado General'!#REF!,"AAAAAD///II=")</f>
        <v>#REF!</v>
      </c>
      <c r="EB34" t="e">
        <f>AND('Listado General'!#REF!,"AAAAAD///IM=")</f>
        <v>#REF!</v>
      </c>
      <c r="EC34" t="e">
        <f>AND('Listado General'!#REF!,"AAAAAD///IQ=")</f>
        <v>#REF!</v>
      </c>
      <c r="ED34" t="e">
        <f>AND('Listado General'!#REF!,"AAAAAD///IU=")</f>
        <v>#REF!</v>
      </c>
      <c r="EE34" t="e">
        <f>AND('Listado General'!#REF!,"AAAAAD///IY=")</f>
        <v>#REF!</v>
      </c>
      <c r="EF34" t="e">
        <f>AND('Listado General'!#REF!,"AAAAAD///Ic=")</f>
        <v>#REF!</v>
      </c>
      <c r="EG34" t="e">
        <f>AND('Listado General'!#REF!,"AAAAAD///Ig=")</f>
        <v>#REF!</v>
      </c>
      <c r="EH34" t="e">
        <f>IF('Listado General'!#REF!,"AAAAAD///Ik=",0)</f>
        <v>#REF!</v>
      </c>
      <c r="EI34" t="e">
        <f>AND('Listado General'!#REF!,"AAAAAD///Io=")</f>
        <v>#REF!</v>
      </c>
      <c r="EJ34" t="e">
        <f>AND('Listado General'!#REF!,"AAAAAD///Is=")</f>
        <v>#REF!</v>
      </c>
      <c r="EK34" t="e">
        <f>AND('Listado General'!#REF!,"AAAAAD///Iw=")</f>
        <v>#REF!</v>
      </c>
      <c r="EL34" t="e">
        <f>AND('Listado General'!#REF!,"AAAAAD///I0=")</f>
        <v>#REF!</v>
      </c>
      <c r="EM34" t="e">
        <f>AND('Listado General'!#REF!,"AAAAAD///I4=")</f>
        <v>#REF!</v>
      </c>
      <c r="EN34" t="e">
        <f>AND('Listado General'!#REF!,"AAAAAD///I8=")</f>
        <v>#REF!</v>
      </c>
      <c r="EO34" t="e">
        <f>AND('Listado General'!#REF!,"AAAAAD///JA=")</f>
        <v>#REF!</v>
      </c>
      <c r="EP34" t="e">
        <f>AND('Listado General'!#REF!,"AAAAAD///JE=")</f>
        <v>#REF!</v>
      </c>
      <c r="EQ34" t="e">
        <f>AND('Listado General'!#REF!,"AAAAAD///JI=")</f>
        <v>#REF!</v>
      </c>
      <c r="ER34" t="e">
        <f>IF('Listado General'!#REF!,"AAAAAD///JM=",0)</f>
        <v>#REF!</v>
      </c>
      <c r="ES34" t="e">
        <f>AND('Listado General'!#REF!,"AAAAAD///JQ=")</f>
        <v>#REF!</v>
      </c>
      <c r="ET34" t="e">
        <f>AND('Listado General'!#REF!,"AAAAAD///JU=")</f>
        <v>#REF!</v>
      </c>
      <c r="EU34" t="e">
        <f>AND('Listado General'!#REF!,"AAAAAD///JY=")</f>
        <v>#REF!</v>
      </c>
      <c r="EV34" t="e">
        <f>AND('Listado General'!#REF!,"AAAAAD///Jc=")</f>
        <v>#REF!</v>
      </c>
      <c r="EW34" t="e">
        <f>AND('Listado General'!#REF!,"AAAAAD///Jg=")</f>
        <v>#REF!</v>
      </c>
      <c r="EX34" t="e">
        <f>AND('Listado General'!#REF!,"AAAAAD///Jk=")</f>
        <v>#REF!</v>
      </c>
      <c r="EY34" t="e">
        <f>AND('Listado General'!#REF!,"AAAAAD///Jo=")</f>
        <v>#REF!</v>
      </c>
      <c r="EZ34" t="e">
        <f>AND('Listado General'!#REF!,"AAAAAD///Js=")</f>
        <v>#REF!</v>
      </c>
      <c r="FA34" t="e">
        <f>AND('Listado General'!#REF!,"AAAAAD///Jw=")</f>
        <v>#REF!</v>
      </c>
      <c r="FB34" t="e">
        <f>IF('Listado General'!#REF!,"AAAAAD///J0=",0)</f>
        <v>#REF!</v>
      </c>
      <c r="FC34" t="e">
        <f>AND('Listado General'!#REF!,"AAAAAD///J4=")</f>
        <v>#REF!</v>
      </c>
      <c r="FD34" t="e">
        <f>AND('Listado General'!#REF!,"AAAAAD///J8=")</f>
        <v>#REF!</v>
      </c>
      <c r="FE34" t="e">
        <f>AND('Listado General'!#REF!,"AAAAAD///KA=")</f>
        <v>#REF!</v>
      </c>
      <c r="FF34" t="e">
        <f>AND('Listado General'!#REF!,"AAAAAD///KE=")</f>
        <v>#REF!</v>
      </c>
      <c r="FG34" t="e">
        <f>AND('Listado General'!#REF!,"AAAAAD///KI=")</f>
        <v>#REF!</v>
      </c>
      <c r="FH34" t="e">
        <f>AND('Listado General'!#REF!,"AAAAAD///KM=")</f>
        <v>#REF!</v>
      </c>
      <c r="FI34" t="e">
        <f>AND('Listado General'!#REF!,"AAAAAD///KQ=")</f>
        <v>#REF!</v>
      </c>
      <c r="FJ34" t="e">
        <f>AND('Listado General'!#REF!,"AAAAAD///KU=")</f>
        <v>#REF!</v>
      </c>
      <c r="FK34" t="e">
        <f>AND('Listado General'!#REF!,"AAAAAD///KY=")</f>
        <v>#REF!</v>
      </c>
      <c r="FL34" t="e">
        <f>IF('Listado General'!#REF!,"AAAAAD///Kc=",0)</f>
        <v>#REF!</v>
      </c>
      <c r="FM34" t="e">
        <f>AND('Listado General'!#REF!,"AAAAAD///Kg=")</f>
        <v>#REF!</v>
      </c>
      <c r="FN34" t="e">
        <f>AND('Listado General'!#REF!,"AAAAAD///Kk=")</f>
        <v>#REF!</v>
      </c>
      <c r="FO34" t="e">
        <f>AND('Listado General'!#REF!,"AAAAAD///Ko=")</f>
        <v>#REF!</v>
      </c>
      <c r="FP34" t="e">
        <f>AND('Listado General'!#REF!,"AAAAAD///Ks=")</f>
        <v>#REF!</v>
      </c>
      <c r="FQ34" t="e">
        <f>AND('Listado General'!#REF!,"AAAAAD///Kw=")</f>
        <v>#REF!</v>
      </c>
      <c r="FR34" t="e">
        <f>AND('Listado General'!#REF!,"AAAAAD///K0=")</f>
        <v>#REF!</v>
      </c>
      <c r="FS34" t="e">
        <f>AND('Listado General'!#REF!,"AAAAAD///K4=")</f>
        <v>#REF!</v>
      </c>
      <c r="FT34" t="e">
        <f>AND('Listado General'!#REF!,"AAAAAD///K8=")</f>
        <v>#REF!</v>
      </c>
      <c r="FU34" t="e">
        <f>AND('Listado General'!#REF!,"AAAAAD///LA=")</f>
        <v>#REF!</v>
      </c>
      <c r="FV34" t="e">
        <f>IF('Listado General'!#REF!,"AAAAAD///LE=",0)</f>
        <v>#REF!</v>
      </c>
      <c r="FW34" t="e">
        <f>AND('Listado General'!#REF!,"AAAAAD///LI=")</f>
        <v>#REF!</v>
      </c>
      <c r="FX34" t="e">
        <f>AND('Listado General'!#REF!,"AAAAAD///LM=")</f>
        <v>#REF!</v>
      </c>
      <c r="FY34" t="e">
        <f>AND('Listado General'!#REF!,"AAAAAD///LQ=")</f>
        <v>#REF!</v>
      </c>
      <c r="FZ34" t="e">
        <f>AND('Listado General'!#REF!,"AAAAAD///LU=")</f>
        <v>#REF!</v>
      </c>
      <c r="GA34" t="e">
        <f>AND('Listado General'!#REF!,"AAAAAD///LY=")</f>
        <v>#REF!</v>
      </c>
      <c r="GB34" t="e">
        <f>AND('Listado General'!#REF!,"AAAAAD///Lc=")</f>
        <v>#REF!</v>
      </c>
      <c r="GC34" t="e">
        <f>AND('Listado General'!#REF!,"AAAAAD///Lg=")</f>
        <v>#REF!</v>
      </c>
      <c r="GD34" t="e">
        <f>AND('Listado General'!#REF!,"AAAAAD///Lk=")</f>
        <v>#REF!</v>
      </c>
      <c r="GE34" t="e">
        <f>AND('Listado General'!#REF!,"AAAAAD///Lo=")</f>
        <v>#REF!</v>
      </c>
      <c r="GF34" t="e">
        <f>IF('Listado General'!#REF!,"AAAAAD///Ls=",0)</f>
        <v>#REF!</v>
      </c>
      <c r="GG34" t="e">
        <f>AND('Listado General'!#REF!,"AAAAAD///Lw=")</f>
        <v>#REF!</v>
      </c>
      <c r="GH34" t="e">
        <f>AND('Listado General'!#REF!,"AAAAAD///L0=")</f>
        <v>#REF!</v>
      </c>
      <c r="GI34" t="e">
        <f>AND('Listado General'!#REF!,"AAAAAD///L4=")</f>
        <v>#REF!</v>
      </c>
      <c r="GJ34" t="e">
        <f>AND('Listado General'!#REF!,"AAAAAD///L8=")</f>
        <v>#REF!</v>
      </c>
      <c r="GK34" t="e">
        <f>AND('Listado General'!#REF!,"AAAAAD///MA=")</f>
        <v>#REF!</v>
      </c>
      <c r="GL34" t="e">
        <f>AND('Listado General'!#REF!,"AAAAAD///ME=")</f>
        <v>#REF!</v>
      </c>
      <c r="GM34" t="e">
        <f>AND('Listado General'!#REF!,"AAAAAD///MI=")</f>
        <v>#REF!</v>
      </c>
      <c r="GN34" t="e">
        <f>AND('Listado General'!#REF!,"AAAAAD///MM=")</f>
        <v>#REF!</v>
      </c>
      <c r="GO34" t="e">
        <f>AND('Listado General'!#REF!,"AAAAAD///MQ=")</f>
        <v>#REF!</v>
      </c>
      <c r="GP34" t="e">
        <f>IF('Listado General'!#REF!,"AAAAAD///MU=",0)</f>
        <v>#REF!</v>
      </c>
      <c r="GQ34" t="e">
        <f>AND('Listado General'!#REF!,"AAAAAD///MY=")</f>
        <v>#REF!</v>
      </c>
      <c r="GR34" t="e">
        <f>AND('Listado General'!#REF!,"AAAAAD///Mc=")</f>
        <v>#REF!</v>
      </c>
      <c r="GS34" t="e">
        <f>AND('Listado General'!#REF!,"AAAAAD///Mg=")</f>
        <v>#REF!</v>
      </c>
      <c r="GT34" t="e">
        <f>AND('Listado General'!#REF!,"AAAAAD///Mk=")</f>
        <v>#REF!</v>
      </c>
      <c r="GU34" t="e">
        <f>AND('Listado General'!#REF!,"AAAAAD///Mo=")</f>
        <v>#REF!</v>
      </c>
      <c r="GV34" t="e">
        <f>AND('Listado General'!#REF!,"AAAAAD///Ms=")</f>
        <v>#REF!</v>
      </c>
      <c r="GW34" t="e">
        <f>AND('Listado General'!#REF!,"AAAAAD///Mw=")</f>
        <v>#REF!</v>
      </c>
      <c r="GX34" t="e">
        <f>AND('Listado General'!#REF!,"AAAAAD///M0=")</f>
        <v>#REF!</v>
      </c>
      <c r="GY34" t="e">
        <f>AND('Listado General'!#REF!,"AAAAAD///M4=")</f>
        <v>#REF!</v>
      </c>
      <c r="GZ34" t="e">
        <f>IF('Listado General'!#REF!,"AAAAAD///M8=",0)</f>
        <v>#REF!</v>
      </c>
      <c r="HA34" t="e">
        <f>AND('Listado General'!#REF!,"AAAAAD///NA=")</f>
        <v>#REF!</v>
      </c>
      <c r="HB34" t="e">
        <f>AND('Listado General'!#REF!,"AAAAAD///NE=")</f>
        <v>#REF!</v>
      </c>
      <c r="HC34" t="e">
        <f>AND('Listado General'!#REF!,"AAAAAD///NI=")</f>
        <v>#REF!</v>
      </c>
      <c r="HD34" t="e">
        <f>AND('Listado General'!#REF!,"AAAAAD///NM=")</f>
        <v>#REF!</v>
      </c>
      <c r="HE34" t="e">
        <f>AND('Listado General'!#REF!,"AAAAAD///NQ=")</f>
        <v>#REF!</v>
      </c>
      <c r="HF34" t="e">
        <f>AND('Listado General'!#REF!,"AAAAAD///NU=")</f>
        <v>#REF!</v>
      </c>
      <c r="HG34" t="e">
        <f>AND('Listado General'!#REF!,"AAAAAD///NY=")</f>
        <v>#REF!</v>
      </c>
      <c r="HH34" t="e">
        <f>AND('Listado General'!#REF!,"AAAAAD///Nc=")</f>
        <v>#REF!</v>
      </c>
      <c r="HI34" t="e">
        <f>AND('Listado General'!#REF!,"AAAAAD///Ng=")</f>
        <v>#REF!</v>
      </c>
      <c r="HJ34" t="e">
        <f>IF('Listado General'!#REF!,"AAAAAD///Nk=",0)</f>
        <v>#REF!</v>
      </c>
      <c r="HK34" t="e">
        <f>AND('Listado General'!#REF!,"AAAAAD///No=")</f>
        <v>#REF!</v>
      </c>
      <c r="HL34" t="e">
        <f>AND('Listado General'!#REF!,"AAAAAD///Ns=")</f>
        <v>#REF!</v>
      </c>
      <c r="HM34" t="e">
        <f>AND('Listado General'!#REF!,"AAAAAD///Nw=")</f>
        <v>#REF!</v>
      </c>
      <c r="HN34" t="e">
        <f>AND('Listado General'!#REF!,"AAAAAD///N0=")</f>
        <v>#REF!</v>
      </c>
      <c r="HO34" t="e">
        <f>AND('Listado General'!#REF!,"AAAAAD///N4=")</f>
        <v>#REF!</v>
      </c>
      <c r="HP34" t="e">
        <f>AND('Listado General'!#REF!,"AAAAAD///N8=")</f>
        <v>#REF!</v>
      </c>
      <c r="HQ34" t="e">
        <f>AND('Listado General'!#REF!,"AAAAAD///OA=")</f>
        <v>#REF!</v>
      </c>
      <c r="HR34" t="e">
        <f>AND('Listado General'!#REF!,"AAAAAD///OE=")</f>
        <v>#REF!</v>
      </c>
      <c r="HS34" t="e">
        <f>AND('Listado General'!#REF!,"AAAAAD///OI=")</f>
        <v>#REF!</v>
      </c>
      <c r="HT34" t="e">
        <f>IF('Listado General'!#REF!,"AAAAAD///OM=",0)</f>
        <v>#REF!</v>
      </c>
      <c r="HU34" t="e">
        <f>AND('Listado General'!#REF!,"AAAAAD///OQ=")</f>
        <v>#REF!</v>
      </c>
      <c r="HV34" t="e">
        <f>AND('Listado General'!#REF!,"AAAAAD///OU=")</f>
        <v>#REF!</v>
      </c>
      <c r="HW34" t="e">
        <f>AND('Listado General'!#REF!,"AAAAAD///OY=")</f>
        <v>#REF!</v>
      </c>
      <c r="HX34" t="e">
        <f>AND('Listado General'!#REF!,"AAAAAD///Oc=")</f>
        <v>#REF!</v>
      </c>
      <c r="HY34" t="e">
        <f>AND('Listado General'!#REF!,"AAAAAD///Og=")</f>
        <v>#REF!</v>
      </c>
      <c r="HZ34" t="e">
        <f>AND('Listado General'!#REF!,"AAAAAD///Ok=")</f>
        <v>#REF!</v>
      </c>
      <c r="IA34" t="e">
        <f>AND('Listado General'!#REF!,"AAAAAD///Oo=")</f>
        <v>#REF!</v>
      </c>
      <c r="IB34" t="e">
        <f>AND('Listado General'!#REF!,"AAAAAD///Os=")</f>
        <v>#REF!</v>
      </c>
      <c r="IC34" t="e">
        <f>AND('Listado General'!#REF!,"AAAAAD///Ow=")</f>
        <v>#REF!</v>
      </c>
      <c r="ID34" t="e">
        <f>IF('Listado General'!#REF!,"AAAAAD///O0=",0)</f>
        <v>#REF!</v>
      </c>
      <c r="IE34" t="e">
        <f>AND('Listado General'!#REF!,"AAAAAD///O4=")</f>
        <v>#REF!</v>
      </c>
      <c r="IF34" t="e">
        <f>AND('Listado General'!#REF!,"AAAAAD///O8=")</f>
        <v>#REF!</v>
      </c>
      <c r="IG34" t="e">
        <f>AND('Listado General'!#REF!,"AAAAAD///PA=")</f>
        <v>#REF!</v>
      </c>
      <c r="IH34" t="e">
        <f>AND('Listado General'!#REF!,"AAAAAD///PE=")</f>
        <v>#REF!</v>
      </c>
      <c r="II34" t="e">
        <f>AND('Listado General'!#REF!,"AAAAAD///PI=")</f>
        <v>#REF!</v>
      </c>
      <c r="IJ34" t="e">
        <f>AND('Listado General'!#REF!,"AAAAAD///PM=")</f>
        <v>#REF!</v>
      </c>
      <c r="IK34" t="e">
        <f>AND('Listado General'!#REF!,"AAAAAD///PQ=")</f>
        <v>#REF!</v>
      </c>
      <c r="IL34" t="e">
        <f>AND('Listado General'!#REF!,"AAAAAD///PU=")</f>
        <v>#REF!</v>
      </c>
      <c r="IM34" t="e">
        <f>AND('Listado General'!#REF!,"AAAAAD///PY=")</f>
        <v>#REF!</v>
      </c>
      <c r="IN34" t="e">
        <f>IF('Listado General'!#REF!,"AAAAAD///Pc=",0)</f>
        <v>#REF!</v>
      </c>
      <c r="IO34" t="e">
        <f>AND('Listado General'!#REF!,"AAAAAD///Pg=")</f>
        <v>#REF!</v>
      </c>
      <c r="IP34" t="e">
        <f>AND('Listado General'!#REF!,"AAAAAD///Pk=")</f>
        <v>#REF!</v>
      </c>
      <c r="IQ34" t="e">
        <f>AND('Listado General'!#REF!,"AAAAAD///Po=")</f>
        <v>#REF!</v>
      </c>
      <c r="IR34" t="e">
        <f>AND('Listado General'!#REF!,"AAAAAD///Ps=")</f>
        <v>#REF!</v>
      </c>
      <c r="IS34" t="e">
        <f>AND('Listado General'!#REF!,"AAAAAD///Pw=")</f>
        <v>#REF!</v>
      </c>
      <c r="IT34" t="e">
        <f>AND('Listado General'!#REF!,"AAAAAD///P0=")</f>
        <v>#REF!</v>
      </c>
      <c r="IU34" t="e">
        <f>AND('Listado General'!#REF!,"AAAAAD///P4=")</f>
        <v>#REF!</v>
      </c>
      <c r="IV34" t="e">
        <f>AND('Listado General'!#REF!,"AAAAAD///P8=")</f>
        <v>#REF!</v>
      </c>
    </row>
    <row r="35" spans="1:256" ht="12.75">
      <c r="A35" t="e">
        <f>AND('Listado General'!#REF!,"AAAAAB/z5wA=")</f>
        <v>#REF!</v>
      </c>
      <c r="B35" t="e">
        <f>IF('Listado General'!#REF!,"AAAAAB/z5wE=",0)</f>
        <v>#REF!</v>
      </c>
      <c r="C35" t="e">
        <f>AND('Listado General'!#REF!,"AAAAAB/z5wI=")</f>
        <v>#REF!</v>
      </c>
      <c r="D35" t="e">
        <f>AND('Listado General'!#REF!,"AAAAAB/z5wM=")</f>
        <v>#REF!</v>
      </c>
      <c r="E35" t="e">
        <f>AND('Listado General'!#REF!,"AAAAAB/z5wQ=")</f>
        <v>#REF!</v>
      </c>
      <c r="F35" t="e">
        <f>AND('Listado General'!#REF!,"AAAAAB/z5wU=")</f>
        <v>#REF!</v>
      </c>
      <c r="G35" t="e">
        <f>AND('Listado General'!#REF!,"AAAAAB/z5wY=")</f>
        <v>#REF!</v>
      </c>
      <c r="H35" t="e">
        <f>AND('Listado General'!#REF!,"AAAAAB/z5wc=")</f>
        <v>#REF!</v>
      </c>
      <c r="I35" t="e">
        <f>AND('Listado General'!#REF!,"AAAAAB/z5wg=")</f>
        <v>#REF!</v>
      </c>
      <c r="J35" t="e">
        <f>AND('Listado General'!#REF!,"AAAAAB/z5wk=")</f>
        <v>#REF!</v>
      </c>
      <c r="K35" t="e">
        <f>AND('Listado General'!#REF!,"AAAAAB/z5wo=")</f>
        <v>#REF!</v>
      </c>
      <c r="L35" t="e">
        <f>IF('Listado General'!#REF!,"AAAAAB/z5ws=",0)</f>
        <v>#REF!</v>
      </c>
      <c r="M35" t="e">
        <f>AND('Listado General'!#REF!,"AAAAAB/z5ww=")</f>
        <v>#REF!</v>
      </c>
      <c r="N35" t="e">
        <f>AND('Listado General'!#REF!,"AAAAAB/z5w0=")</f>
        <v>#REF!</v>
      </c>
      <c r="O35" t="e">
        <f>AND('Listado General'!#REF!,"AAAAAB/z5w4=")</f>
        <v>#REF!</v>
      </c>
      <c r="P35" t="e">
        <f>AND('Listado General'!#REF!,"AAAAAB/z5w8=")</f>
        <v>#REF!</v>
      </c>
      <c r="Q35" t="e">
        <f>AND('Listado General'!#REF!,"AAAAAB/z5xA=")</f>
        <v>#REF!</v>
      </c>
      <c r="R35" t="e">
        <f>AND('Listado General'!#REF!,"AAAAAB/z5xE=")</f>
        <v>#REF!</v>
      </c>
      <c r="S35" t="e">
        <f>AND('Listado General'!#REF!,"AAAAAB/z5xI=")</f>
        <v>#REF!</v>
      </c>
      <c r="T35" t="e">
        <f>AND('Listado General'!#REF!,"AAAAAB/z5xM=")</f>
        <v>#REF!</v>
      </c>
      <c r="U35" t="e">
        <f>AND('Listado General'!#REF!,"AAAAAB/z5xQ=")</f>
        <v>#REF!</v>
      </c>
      <c r="V35" t="e">
        <f>IF('Listado General'!#REF!,"AAAAAB/z5xU=",0)</f>
        <v>#REF!</v>
      </c>
      <c r="W35" t="e">
        <f>AND('Listado General'!#REF!,"AAAAAB/z5xY=")</f>
        <v>#REF!</v>
      </c>
      <c r="X35" t="e">
        <f>AND('Listado General'!#REF!,"AAAAAB/z5xc=")</f>
        <v>#REF!</v>
      </c>
      <c r="Y35" t="e">
        <f>AND('Listado General'!#REF!,"AAAAAB/z5xg=")</f>
        <v>#REF!</v>
      </c>
      <c r="Z35" t="e">
        <f>AND('Listado General'!#REF!,"AAAAAB/z5xk=")</f>
        <v>#REF!</v>
      </c>
      <c r="AA35" t="e">
        <f>AND('Listado General'!#REF!,"AAAAAB/z5xo=")</f>
        <v>#REF!</v>
      </c>
      <c r="AB35" t="e">
        <f>AND('Listado General'!#REF!,"AAAAAB/z5xs=")</f>
        <v>#REF!</v>
      </c>
      <c r="AC35" t="e">
        <f>AND('Listado General'!#REF!,"AAAAAB/z5xw=")</f>
        <v>#REF!</v>
      </c>
      <c r="AD35" t="e">
        <f>AND('Listado General'!#REF!,"AAAAAB/z5x0=")</f>
        <v>#REF!</v>
      </c>
      <c r="AE35" t="e">
        <f>AND('Listado General'!#REF!,"AAAAAB/z5x4=")</f>
        <v>#REF!</v>
      </c>
      <c r="AF35" t="e">
        <f>IF('Listado General'!#REF!,"AAAAAB/z5x8=",0)</f>
        <v>#REF!</v>
      </c>
      <c r="AG35" t="e">
        <f>AND('Listado General'!#REF!,"AAAAAB/z5yA=")</f>
        <v>#REF!</v>
      </c>
      <c r="AH35" t="e">
        <f>AND('Listado General'!#REF!,"AAAAAB/z5yE=")</f>
        <v>#REF!</v>
      </c>
      <c r="AI35" t="e">
        <f>AND('Listado General'!#REF!,"AAAAAB/z5yI=")</f>
        <v>#REF!</v>
      </c>
      <c r="AJ35" t="e">
        <f>AND('Listado General'!#REF!,"AAAAAB/z5yM=")</f>
        <v>#REF!</v>
      </c>
      <c r="AK35" t="e">
        <f>AND('Listado General'!#REF!,"AAAAAB/z5yQ=")</f>
        <v>#REF!</v>
      </c>
      <c r="AL35" t="e">
        <f>AND('Listado General'!#REF!,"AAAAAB/z5yU=")</f>
        <v>#REF!</v>
      </c>
      <c r="AM35" t="e">
        <f>AND('Listado General'!#REF!,"AAAAAB/z5yY=")</f>
        <v>#REF!</v>
      </c>
      <c r="AN35" t="e">
        <f>AND('Listado General'!#REF!,"AAAAAB/z5yc=")</f>
        <v>#REF!</v>
      </c>
      <c r="AO35" t="e">
        <f>AND('Listado General'!#REF!,"AAAAAB/z5yg=")</f>
        <v>#REF!</v>
      </c>
      <c r="AP35" t="e">
        <f>IF('Listado General'!#REF!,"AAAAAB/z5yk=",0)</f>
        <v>#REF!</v>
      </c>
      <c r="AQ35" t="e">
        <f>AND('Listado General'!#REF!,"AAAAAB/z5yo=")</f>
        <v>#REF!</v>
      </c>
      <c r="AR35" t="e">
        <f>AND('Listado General'!#REF!,"AAAAAB/z5ys=")</f>
        <v>#REF!</v>
      </c>
      <c r="AS35" t="e">
        <f>AND('Listado General'!#REF!,"AAAAAB/z5yw=")</f>
        <v>#REF!</v>
      </c>
      <c r="AT35" t="e">
        <f>AND('Listado General'!#REF!,"AAAAAB/z5y0=")</f>
        <v>#REF!</v>
      </c>
      <c r="AU35" t="e">
        <f>AND('Listado General'!#REF!,"AAAAAB/z5y4=")</f>
        <v>#REF!</v>
      </c>
      <c r="AV35" t="e">
        <f>AND('Listado General'!#REF!,"AAAAAB/z5y8=")</f>
        <v>#REF!</v>
      </c>
      <c r="AW35" t="e">
        <f>AND('Listado General'!#REF!,"AAAAAB/z5zA=")</f>
        <v>#REF!</v>
      </c>
      <c r="AX35" t="e">
        <f>AND('Listado General'!#REF!,"AAAAAB/z5zE=")</f>
        <v>#REF!</v>
      </c>
      <c r="AY35" t="e">
        <f>AND('Listado General'!#REF!,"AAAAAB/z5zI=")</f>
        <v>#REF!</v>
      </c>
      <c r="AZ35" t="e">
        <f>IF('Listado General'!#REF!,"AAAAAB/z5zM=",0)</f>
        <v>#REF!</v>
      </c>
      <c r="BA35" t="e">
        <f>AND('Listado General'!#REF!,"AAAAAB/z5zQ=")</f>
        <v>#REF!</v>
      </c>
      <c r="BB35" t="e">
        <f>AND('Listado General'!#REF!,"AAAAAB/z5zU=")</f>
        <v>#REF!</v>
      </c>
      <c r="BC35" t="e">
        <f>AND('Listado General'!#REF!,"AAAAAB/z5zY=")</f>
        <v>#REF!</v>
      </c>
      <c r="BD35" t="e">
        <f>AND('Listado General'!#REF!,"AAAAAB/z5zc=")</f>
        <v>#REF!</v>
      </c>
      <c r="BE35" t="e">
        <f>AND('Listado General'!#REF!,"AAAAAB/z5zg=")</f>
        <v>#REF!</v>
      </c>
      <c r="BF35" t="e">
        <f>AND('Listado General'!#REF!,"AAAAAB/z5zk=")</f>
        <v>#REF!</v>
      </c>
      <c r="BG35" t="e">
        <f>AND('Listado General'!#REF!,"AAAAAB/z5zo=")</f>
        <v>#REF!</v>
      </c>
      <c r="BH35" t="e">
        <f>AND('Listado General'!#REF!,"AAAAAB/z5zs=")</f>
        <v>#REF!</v>
      </c>
      <c r="BI35" t="e">
        <f>AND('Listado General'!#REF!,"AAAAAB/z5zw=")</f>
        <v>#REF!</v>
      </c>
      <c r="BJ35" t="e">
        <f>IF('Listado General'!#REF!,"AAAAAB/z5z0=",0)</f>
        <v>#REF!</v>
      </c>
      <c r="BK35" t="e">
        <f>AND('Listado General'!#REF!,"AAAAAB/z5z4=")</f>
        <v>#REF!</v>
      </c>
      <c r="BL35" t="e">
        <f>AND('Listado General'!#REF!,"AAAAAB/z5z8=")</f>
        <v>#REF!</v>
      </c>
      <c r="BM35" t="e">
        <f>AND('Listado General'!#REF!,"AAAAAB/z50A=")</f>
        <v>#REF!</v>
      </c>
      <c r="BN35" t="e">
        <f>AND('Listado General'!#REF!,"AAAAAB/z50E=")</f>
        <v>#REF!</v>
      </c>
      <c r="BO35" t="e">
        <f>AND('Listado General'!#REF!,"AAAAAB/z50I=")</f>
        <v>#REF!</v>
      </c>
      <c r="BP35" t="e">
        <f>AND('Listado General'!#REF!,"AAAAAB/z50M=")</f>
        <v>#REF!</v>
      </c>
      <c r="BQ35" t="e">
        <f>AND('Listado General'!#REF!,"AAAAAB/z50Q=")</f>
        <v>#REF!</v>
      </c>
      <c r="BR35" t="e">
        <f>AND('Listado General'!#REF!,"AAAAAB/z50U=")</f>
        <v>#REF!</v>
      </c>
      <c r="BS35" t="e">
        <f>AND('Listado General'!#REF!,"AAAAAB/z50Y=")</f>
        <v>#REF!</v>
      </c>
      <c r="BT35" t="e">
        <f>IF('Listado General'!#REF!,"AAAAAB/z50c=",0)</f>
        <v>#REF!</v>
      </c>
      <c r="BU35" t="e">
        <f>AND('Listado General'!#REF!,"AAAAAB/z50g=")</f>
        <v>#REF!</v>
      </c>
      <c r="BV35" t="e">
        <f>AND('Listado General'!#REF!,"AAAAAB/z50k=")</f>
        <v>#REF!</v>
      </c>
      <c r="BW35" t="e">
        <f>AND('Listado General'!#REF!,"AAAAAB/z50o=")</f>
        <v>#REF!</v>
      </c>
      <c r="BX35" t="e">
        <f>AND('Listado General'!#REF!,"AAAAAB/z50s=")</f>
        <v>#REF!</v>
      </c>
      <c r="BY35" t="e">
        <f>AND('Listado General'!#REF!,"AAAAAB/z50w=")</f>
        <v>#REF!</v>
      </c>
      <c r="BZ35" t="e">
        <f>AND('Listado General'!#REF!,"AAAAAB/z500=")</f>
        <v>#REF!</v>
      </c>
      <c r="CA35" t="e">
        <f>AND('Listado General'!#REF!,"AAAAAB/z504=")</f>
        <v>#REF!</v>
      </c>
      <c r="CB35" t="e">
        <f>AND('Listado General'!#REF!,"AAAAAB/z508=")</f>
        <v>#REF!</v>
      </c>
      <c r="CC35" t="e">
        <f>AND('Listado General'!#REF!,"AAAAAB/z51A=")</f>
        <v>#REF!</v>
      </c>
      <c r="CD35" t="e">
        <f>IF('Listado General'!#REF!,"AAAAAB/z51E=",0)</f>
        <v>#REF!</v>
      </c>
      <c r="CE35" t="e">
        <f>AND('Listado General'!#REF!,"AAAAAB/z51I=")</f>
        <v>#REF!</v>
      </c>
      <c r="CF35" t="e">
        <f>AND('Listado General'!#REF!,"AAAAAB/z51M=")</f>
        <v>#REF!</v>
      </c>
      <c r="CG35" t="e">
        <f>AND('Listado General'!#REF!,"AAAAAB/z51Q=")</f>
        <v>#REF!</v>
      </c>
      <c r="CH35" t="e">
        <f>AND('Listado General'!#REF!,"AAAAAB/z51U=")</f>
        <v>#REF!</v>
      </c>
      <c r="CI35" t="e">
        <f>AND('Listado General'!#REF!,"AAAAAB/z51Y=")</f>
        <v>#REF!</v>
      </c>
      <c r="CJ35" t="e">
        <f>AND('Listado General'!#REF!,"AAAAAB/z51c=")</f>
        <v>#REF!</v>
      </c>
      <c r="CK35" t="e">
        <f>AND('Listado General'!#REF!,"AAAAAB/z51g=")</f>
        <v>#REF!</v>
      </c>
      <c r="CL35" t="e">
        <f>AND('Listado General'!#REF!,"AAAAAB/z51k=")</f>
        <v>#REF!</v>
      </c>
      <c r="CM35" t="e">
        <f>AND('Listado General'!#REF!,"AAAAAB/z51o=")</f>
        <v>#REF!</v>
      </c>
      <c r="CN35" t="e">
        <f>IF('Listado General'!#REF!,"AAAAAB/z51s=",0)</f>
        <v>#REF!</v>
      </c>
      <c r="CO35" t="e">
        <f>AND('Listado General'!#REF!,"AAAAAB/z51w=")</f>
        <v>#REF!</v>
      </c>
      <c r="CP35" t="e">
        <f>AND('Listado General'!#REF!,"AAAAAB/z510=")</f>
        <v>#REF!</v>
      </c>
      <c r="CQ35" t="e">
        <f>AND('Listado General'!#REF!,"AAAAAB/z514=")</f>
        <v>#REF!</v>
      </c>
      <c r="CR35" t="e">
        <f>AND('Listado General'!#REF!,"AAAAAB/z518=")</f>
        <v>#REF!</v>
      </c>
      <c r="CS35" t="e">
        <f>AND('Listado General'!#REF!,"AAAAAB/z52A=")</f>
        <v>#REF!</v>
      </c>
      <c r="CT35" t="e">
        <f>AND('Listado General'!#REF!,"AAAAAB/z52E=")</f>
        <v>#REF!</v>
      </c>
      <c r="CU35" t="e">
        <f>AND('Listado General'!#REF!,"AAAAAB/z52I=")</f>
        <v>#REF!</v>
      </c>
      <c r="CV35" t="e">
        <f>AND('Listado General'!#REF!,"AAAAAB/z52M=")</f>
        <v>#REF!</v>
      </c>
      <c r="CW35" t="e">
        <f>AND('Listado General'!#REF!,"AAAAAB/z52Q=")</f>
        <v>#REF!</v>
      </c>
      <c r="CX35" t="e">
        <f>IF('Listado General'!#REF!,"AAAAAB/z52U=",0)</f>
        <v>#REF!</v>
      </c>
      <c r="CY35" t="e">
        <f>AND('Listado General'!#REF!,"AAAAAB/z52Y=")</f>
        <v>#REF!</v>
      </c>
      <c r="CZ35" t="e">
        <f>AND('Listado General'!#REF!,"AAAAAB/z52c=")</f>
        <v>#REF!</v>
      </c>
      <c r="DA35" t="e">
        <f>AND('Listado General'!#REF!,"AAAAAB/z52g=")</f>
        <v>#REF!</v>
      </c>
      <c r="DB35" t="e">
        <f>AND('Listado General'!#REF!,"AAAAAB/z52k=")</f>
        <v>#REF!</v>
      </c>
      <c r="DC35" t="e">
        <f>AND('Listado General'!#REF!,"AAAAAB/z52o=")</f>
        <v>#REF!</v>
      </c>
      <c r="DD35" t="e">
        <f>AND('Listado General'!#REF!,"AAAAAB/z52s=")</f>
        <v>#REF!</v>
      </c>
      <c r="DE35" t="e">
        <f>AND('Listado General'!#REF!,"AAAAAB/z52w=")</f>
        <v>#REF!</v>
      </c>
      <c r="DF35" t="e">
        <f>AND('Listado General'!#REF!,"AAAAAB/z520=")</f>
        <v>#REF!</v>
      </c>
      <c r="DG35" t="e">
        <f>AND('Listado General'!#REF!,"AAAAAB/z524=")</f>
        <v>#REF!</v>
      </c>
      <c r="DH35" t="e">
        <f>IF('Listado General'!#REF!,"AAAAAB/z528=",0)</f>
        <v>#REF!</v>
      </c>
      <c r="DI35" t="e">
        <f>AND('Listado General'!#REF!,"AAAAAB/z53A=")</f>
        <v>#REF!</v>
      </c>
      <c r="DJ35" t="e">
        <f>AND('Listado General'!#REF!,"AAAAAB/z53E=")</f>
        <v>#REF!</v>
      </c>
      <c r="DK35" t="e">
        <f>AND('Listado General'!#REF!,"AAAAAB/z53I=")</f>
        <v>#REF!</v>
      </c>
      <c r="DL35" t="e">
        <f>AND('Listado General'!#REF!,"AAAAAB/z53M=")</f>
        <v>#REF!</v>
      </c>
      <c r="DM35" t="e">
        <f>AND('Listado General'!#REF!,"AAAAAB/z53Q=")</f>
        <v>#REF!</v>
      </c>
      <c r="DN35" t="e">
        <f>AND('Listado General'!#REF!,"AAAAAB/z53U=")</f>
        <v>#REF!</v>
      </c>
      <c r="DO35" t="e">
        <f>AND('Listado General'!#REF!,"AAAAAB/z53Y=")</f>
        <v>#REF!</v>
      </c>
      <c r="DP35" t="e">
        <f>AND('Listado General'!#REF!,"AAAAAB/z53c=")</f>
        <v>#REF!</v>
      </c>
      <c r="DQ35" t="e">
        <f>AND('Listado General'!#REF!,"AAAAAB/z53g=")</f>
        <v>#REF!</v>
      </c>
      <c r="DR35" t="e">
        <f>IF('Listado General'!#REF!,"AAAAAB/z53k=",0)</f>
        <v>#REF!</v>
      </c>
      <c r="DS35" t="e">
        <f>AND('Listado General'!#REF!,"AAAAAB/z53o=")</f>
        <v>#REF!</v>
      </c>
      <c r="DT35" t="e">
        <f>AND('Listado General'!#REF!,"AAAAAB/z53s=")</f>
        <v>#REF!</v>
      </c>
      <c r="DU35" t="e">
        <f>AND('Listado General'!#REF!,"AAAAAB/z53w=")</f>
        <v>#REF!</v>
      </c>
      <c r="DV35" t="e">
        <f>AND('Listado General'!#REF!,"AAAAAB/z530=")</f>
        <v>#REF!</v>
      </c>
      <c r="DW35" t="e">
        <f>AND('Listado General'!#REF!,"AAAAAB/z534=")</f>
        <v>#REF!</v>
      </c>
      <c r="DX35" t="e">
        <f>AND('Listado General'!#REF!,"AAAAAB/z538=")</f>
        <v>#REF!</v>
      </c>
      <c r="DY35" t="e">
        <f>AND('Listado General'!#REF!,"AAAAAB/z54A=")</f>
        <v>#REF!</v>
      </c>
      <c r="DZ35" t="e">
        <f>AND('Listado General'!#REF!,"AAAAAB/z54E=")</f>
        <v>#REF!</v>
      </c>
      <c r="EA35" t="e">
        <f>AND('Listado General'!#REF!,"AAAAAB/z54I=")</f>
        <v>#REF!</v>
      </c>
      <c r="EB35" t="e">
        <f>IF('Listado General'!#REF!,"AAAAAB/z54M=",0)</f>
        <v>#REF!</v>
      </c>
      <c r="EC35" t="e">
        <f>AND('Listado General'!#REF!,"AAAAAB/z54Q=")</f>
        <v>#REF!</v>
      </c>
      <c r="ED35" t="e">
        <f>AND('Listado General'!#REF!,"AAAAAB/z54U=")</f>
        <v>#REF!</v>
      </c>
      <c r="EE35" t="e">
        <f>AND('Listado General'!#REF!,"AAAAAB/z54Y=")</f>
        <v>#REF!</v>
      </c>
      <c r="EF35" t="e">
        <f>AND('Listado General'!#REF!,"AAAAAB/z54c=")</f>
        <v>#REF!</v>
      </c>
      <c r="EG35" t="e">
        <f>AND('Listado General'!#REF!,"AAAAAB/z54g=")</f>
        <v>#REF!</v>
      </c>
      <c r="EH35" t="e">
        <f>AND('Listado General'!#REF!,"AAAAAB/z54k=")</f>
        <v>#REF!</v>
      </c>
      <c r="EI35" t="e">
        <f>AND('Listado General'!#REF!,"AAAAAB/z54o=")</f>
        <v>#REF!</v>
      </c>
      <c r="EJ35" t="e">
        <f>AND('Listado General'!#REF!,"AAAAAB/z54s=")</f>
        <v>#REF!</v>
      </c>
      <c r="EK35" t="e">
        <f>AND('Listado General'!#REF!,"AAAAAB/z54w=")</f>
        <v>#REF!</v>
      </c>
      <c r="EL35" t="e">
        <f>IF('Listado General'!#REF!,"AAAAAB/z540=",0)</f>
        <v>#REF!</v>
      </c>
      <c r="EM35" t="e">
        <f>AND('Listado General'!#REF!,"AAAAAB/z544=")</f>
        <v>#REF!</v>
      </c>
      <c r="EN35" t="e">
        <f>AND('Listado General'!#REF!,"AAAAAB/z548=")</f>
        <v>#REF!</v>
      </c>
      <c r="EO35" t="e">
        <f>AND('Listado General'!#REF!,"AAAAAB/z55A=")</f>
        <v>#REF!</v>
      </c>
      <c r="EP35" t="e">
        <f>AND('Listado General'!#REF!,"AAAAAB/z55E=")</f>
        <v>#REF!</v>
      </c>
      <c r="EQ35" t="e">
        <f>AND('Listado General'!#REF!,"AAAAAB/z55I=")</f>
        <v>#REF!</v>
      </c>
      <c r="ER35" t="e">
        <f>AND('Listado General'!#REF!,"AAAAAB/z55M=")</f>
        <v>#REF!</v>
      </c>
      <c r="ES35" t="e">
        <f>AND('Listado General'!#REF!,"AAAAAB/z55Q=")</f>
        <v>#REF!</v>
      </c>
      <c r="ET35" t="e">
        <f>AND('Listado General'!#REF!,"AAAAAB/z55U=")</f>
        <v>#REF!</v>
      </c>
      <c r="EU35" t="e">
        <f>AND('Listado General'!#REF!,"AAAAAB/z55Y=")</f>
        <v>#REF!</v>
      </c>
      <c r="EV35" t="e">
        <f>IF('Listado General'!#REF!,"AAAAAB/z55c=",0)</f>
        <v>#REF!</v>
      </c>
      <c r="EW35" t="e">
        <f>AND('Listado General'!#REF!,"AAAAAB/z55g=")</f>
        <v>#REF!</v>
      </c>
      <c r="EX35" t="e">
        <f>AND('Listado General'!#REF!,"AAAAAB/z55k=")</f>
        <v>#REF!</v>
      </c>
      <c r="EY35" t="e">
        <f>AND('Listado General'!#REF!,"AAAAAB/z55o=")</f>
        <v>#REF!</v>
      </c>
      <c r="EZ35" t="e">
        <f>AND('Listado General'!#REF!,"AAAAAB/z55s=")</f>
        <v>#REF!</v>
      </c>
      <c r="FA35" t="e">
        <f>AND('Listado General'!#REF!,"AAAAAB/z55w=")</f>
        <v>#REF!</v>
      </c>
      <c r="FB35" t="e">
        <f>AND('Listado General'!#REF!,"AAAAAB/z550=")</f>
        <v>#REF!</v>
      </c>
      <c r="FC35" t="e">
        <f>AND('Listado General'!#REF!,"AAAAAB/z554=")</f>
        <v>#REF!</v>
      </c>
      <c r="FD35" t="e">
        <f>AND('Listado General'!#REF!,"AAAAAB/z558=")</f>
        <v>#REF!</v>
      </c>
      <c r="FE35" t="e">
        <f>AND('Listado General'!#REF!,"AAAAAB/z56A=")</f>
        <v>#REF!</v>
      </c>
      <c r="FF35" t="e">
        <f>IF('Listado General'!#REF!,"AAAAAB/z56E=",0)</f>
        <v>#REF!</v>
      </c>
      <c r="FG35" t="e">
        <f>AND('Listado General'!#REF!,"AAAAAB/z56I=")</f>
        <v>#REF!</v>
      </c>
      <c r="FH35" t="e">
        <f>AND('Listado General'!#REF!,"AAAAAB/z56M=")</f>
        <v>#REF!</v>
      </c>
      <c r="FI35" t="e">
        <f>AND('Listado General'!#REF!,"AAAAAB/z56Q=")</f>
        <v>#REF!</v>
      </c>
      <c r="FJ35" t="e">
        <f>AND('Listado General'!#REF!,"AAAAAB/z56U=")</f>
        <v>#REF!</v>
      </c>
      <c r="FK35" t="e">
        <f>AND('Listado General'!#REF!,"AAAAAB/z56Y=")</f>
        <v>#REF!</v>
      </c>
      <c r="FL35" t="e">
        <f>AND('Listado General'!#REF!,"AAAAAB/z56c=")</f>
        <v>#REF!</v>
      </c>
      <c r="FM35" t="e">
        <f>AND('Listado General'!#REF!,"AAAAAB/z56g=")</f>
        <v>#REF!</v>
      </c>
      <c r="FN35" t="e">
        <f>AND('Listado General'!#REF!,"AAAAAB/z56k=")</f>
        <v>#REF!</v>
      </c>
      <c r="FO35" t="e">
        <f>AND('Listado General'!#REF!,"AAAAAB/z56o=")</f>
        <v>#REF!</v>
      </c>
      <c r="FP35" t="e">
        <f>IF('Listado General'!#REF!,"AAAAAB/z56s=",0)</f>
        <v>#REF!</v>
      </c>
      <c r="FQ35" t="e">
        <f>AND('Listado General'!#REF!,"AAAAAB/z56w=")</f>
        <v>#REF!</v>
      </c>
      <c r="FR35" t="e">
        <f>AND('Listado General'!#REF!,"AAAAAB/z560=")</f>
        <v>#REF!</v>
      </c>
      <c r="FS35" t="e">
        <f>AND('Listado General'!#REF!,"AAAAAB/z564=")</f>
        <v>#REF!</v>
      </c>
      <c r="FT35" t="e">
        <f>AND('Listado General'!#REF!,"AAAAAB/z568=")</f>
        <v>#REF!</v>
      </c>
      <c r="FU35" t="e">
        <f>AND('Listado General'!#REF!,"AAAAAB/z57A=")</f>
        <v>#REF!</v>
      </c>
      <c r="FV35" t="e">
        <f>AND('Listado General'!#REF!,"AAAAAB/z57E=")</f>
        <v>#REF!</v>
      </c>
      <c r="FW35" t="e">
        <f>AND('Listado General'!#REF!,"AAAAAB/z57I=")</f>
        <v>#REF!</v>
      </c>
      <c r="FX35" t="e">
        <f>AND('Listado General'!#REF!,"AAAAAB/z57M=")</f>
        <v>#REF!</v>
      </c>
      <c r="FY35" t="e">
        <f>AND('Listado General'!#REF!,"AAAAAB/z57Q=")</f>
        <v>#REF!</v>
      </c>
      <c r="FZ35" t="e">
        <f>IF('Listado General'!#REF!,"AAAAAB/z57U=",0)</f>
        <v>#REF!</v>
      </c>
      <c r="GA35" t="e">
        <f>AND('Listado General'!#REF!,"AAAAAB/z57Y=")</f>
        <v>#REF!</v>
      </c>
      <c r="GB35" t="e">
        <f>AND('Listado General'!#REF!,"AAAAAB/z57c=")</f>
        <v>#REF!</v>
      </c>
      <c r="GC35" t="e">
        <f>AND('Listado General'!#REF!,"AAAAAB/z57g=")</f>
        <v>#REF!</v>
      </c>
      <c r="GD35" t="e">
        <f>AND('Listado General'!#REF!,"AAAAAB/z57k=")</f>
        <v>#REF!</v>
      </c>
      <c r="GE35" t="e">
        <f>AND('Listado General'!#REF!,"AAAAAB/z57o=")</f>
        <v>#REF!</v>
      </c>
      <c r="GF35" t="e">
        <f>AND('Listado General'!#REF!,"AAAAAB/z57s=")</f>
        <v>#REF!</v>
      </c>
      <c r="GG35" t="e">
        <f>AND('Listado General'!#REF!,"AAAAAB/z57w=")</f>
        <v>#REF!</v>
      </c>
      <c r="GH35" t="e">
        <f>AND('Listado General'!#REF!,"AAAAAB/z570=")</f>
        <v>#REF!</v>
      </c>
      <c r="GI35" t="e">
        <f>AND('Listado General'!#REF!,"AAAAAB/z574=")</f>
        <v>#REF!</v>
      </c>
      <c r="GJ35" t="e">
        <f>IF('Listado General'!#REF!,"AAAAAB/z578=",0)</f>
        <v>#REF!</v>
      </c>
      <c r="GK35" t="e">
        <f>AND('Listado General'!#REF!,"AAAAAB/z58A=")</f>
        <v>#REF!</v>
      </c>
      <c r="GL35" t="e">
        <f>AND('Listado General'!#REF!,"AAAAAB/z58E=")</f>
        <v>#REF!</v>
      </c>
      <c r="GM35" t="e">
        <f>AND('Listado General'!#REF!,"AAAAAB/z58I=")</f>
        <v>#REF!</v>
      </c>
      <c r="GN35" t="e">
        <f>AND('Listado General'!#REF!,"AAAAAB/z58M=")</f>
        <v>#REF!</v>
      </c>
      <c r="GO35" t="e">
        <f>AND('Listado General'!#REF!,"AAAAAB/z58Q=")</f>
        <v>#REF!</v>
      </c>
      <c r="GP35" t="e">
        <f>AND('Listado General'!#REF!,"AAAAAB/z58U=")</f>
        <v>#REF!</v>
      </c>
      <c r="GQ35" t="e">
        <f>AND('Listado General'!#REF!,"AAAAAB/z58Y=")</f>
        <v>#REF!</v>
      </c>
      <c r="GR35" t="e">
        <f>AND('Listado General'!#REF!,"AAAAAB/z58c=")</f>
        <v>#REF!</v>
      </c>
      <c r="GS35" t="e">
        <f>AND('Listado General'!#REF!,"AAAAAB/z58g=")</f>
        <v>#REF!</v>
      </c>
      <c r="GT35" t="e">
        <f>IF('Listado General'!#REF!,"AAAAAB/z58k=",0)</f>
        <v>#REF!</v>
      </c>
      <c r="GU35" t="e">
        <f>AND('Listado General'!#REF!,"AAAAAB/z58o=")</f>
        <v>#REF!</v>
      </c>
      <c r="GV35" t="e">
        <f>AND('Listado General'!#REF!,"AAAAAB/z58s=")</f>
        <v>#REF!</v>
      </c>
      <c r="GW35" t="e">
        <f>AND('Listado General'!#REF!,"AAAAAB/z58w=")</f>
        <v>#REF!</v>
      </c>
      <c r="GX35" t="e">
        <f>AND('Listado General'!#REF!,"AAAAAB/z580=")</f>
        <v>#REF!</v>
      </c>
      <c r="GY35" t="e">
        <f>AND('Listado General'!#REF!,"AAAAAB/z584=")</f>
        <v>#REF!</v>
      </c>
      <c r="GZ35" t="e">
        <f>AND('Listado General'!#REF!,"AAAAAB/z588=")</f>
        <v>#REF!</v>
      </c>
      <c r="HA35" t="e">
        <f>AND('Listado General'!#REF!,"AAAAAB/z59A=")</f>
        <v>#REF!</v>
      </c>
      <c r="HB35" t="e">
        <f>AND('Listado General'!#REF!,"AAAAAB/z59E=")</f>
        <v>#REF!</v>
      </c>
      <c r="HC35" t="e">
        <f>AND('Listado General'!#REF!,"AAAAAB/z59I=")</f>
        <v>#REF!</v>
      </c>
      <c r="HD35" t="e">
        <f>IF('Listado General'!#REF!,"AAAAAB/z59M=",0)</f>
        <v>#REF!</v>
      </c>
      <c r="HE35" t="e">
        <f>AND('Listado General'!#REF!,"AAAAAB/z59Q=")</f>
        <v>#REF!</v>
      </c>
      <c r="HF35" t="e">
        <f>AND('Listado General'!#REF!,"AAAAAB/z59U=")</f>
        <v>#REF!</v>
      </c>
      <c r="HG35" t="e">
        <f>AND('Listado General'!#REF!,"AAAAAB/z59Y=")</f>
        <v>#REF!</v>
      </c>
      <c r="HH35" t="e">
        <f>AND('Listado General'!#REF!,"AAAAAB/z59c=")</f>
        <v>#REF!</v>
      </c>
      <c r="HI35" t="e">
        <f>AND('Listado General'!#REF!,"AAAAAB/z59g=")</f>
        <v>#REF!</v>
      </c>
      <c r="HJ35" t="e">
        <f>AND('Listado General'!#REF!,"AAAAAB/z59k=")</f>
        <v>#REF!</v>
      </c>
      <c r="HK35" t="e">
        <f>AND('Listado General'!#REF!,"AAAAAB/z59o=")</f>
        <v>#REF!</v>
      </c>
      <c r="HL35" t="e">
        <f>AND('Listado General'!#REF!,"AAAAAB/z59s=")</f>
        <v>#REF!</v>
      </c>
      <c r="HM35" t="e">
        <f>AND('Listado General'!#REF!,"AAAAAB/z59w=")</f>
        <v>#REF!</v>
      </c>
      <c r="HN35" t="e">
        <f>IF('Listado General'!#REF!,"AAAAAB/z590=",0)</f>
        <v>#REF!</v>
      </c>
      <c r="HO35" t="e">
        <f>AND('Listado General'!#REF!,"AAAAAB/z594=")</f>
        <v>#REF!</v>
      </c>
      <c r="HP35" t="e">
        <f>AND('Listado General'!#REF!,"AAAAAB/z598=")</f>
        <v>#REF!</v>
      </c>
      <c r="HQ35" t="e">
        <f>AND('Listado General'!#REF!,"AAAAAB/z5+A=")</f>
        <v>#REF!</v>
      </c>
      <c r="HR35" t="e">
        <f>AND('Listado General'!#REF!,"AAAAAB/z5+E=")</f>
        <v>#REF!</v>
      </c>
      <c r="HS35" t="e">
        <f>AND('Listado General'!#REF!,"AAAAAB/z5+I=")</f>
        <v>#REF!</v>
      </c>
      <c r="HT35" t="e">
        <f>AND('Listado General'!#REF!,"AAAAAB/z5+M=")</f>
        <v>#REF!</v>
      </c>
      <c r="HU35" t="e">
        <f>AND('Listado General'!#REF!,"AAAAAB/z5+Q=")</f>
        <v>#REF!</v>
      </c>
      <c r="HV35" t="e">
        <f>AND('Listado General'!#REF!,"AAAAAB/z5+U=")</f>
        <v>#REF!</v>
      </c>
      <c r="HW35" t="e">
        <f>AND('Listado General'!#REF!,"AAAAAB/z5+Y=")</f>
        <v>#REF!</v>
      </c>
      <c r="HX35" t="e">
        <f>IF('Listado General'!#REF!,"AAAAAB/z5+c=",0)</f>
        <v>#REF!</v>
      </c>
      <c r="HY35" t="e">
        <f>AND('Listado General'!#REF!,"AAAAAB/z5+g=")</f>
        <v>#REF!</v>
      </c>
      <c r="HZ35" t="e">
        <f>AND('Listado General'!#REF!,"AAAAAB/z5+k=")</f>
        <v>#REF!</v>
      </c>
      <c r="IA35" t="e">
        <f>AND('Listado General'!#REF!,"AAAAAB/z5+o=")</f>
        <v>#REF!</v>
      </c>
      <c r="IB35" t="e">
        <f>AND('Listado General'!#REF!,"AAAAAB/z5+s=")</f>
        <v>#REF!</v>
      </c>
      <c r="IC35" t="e">
        <f>AND('Listado General'!#REF!,"AAAAAB/z5+w=")</f>
        <v>#REF!</v>
      </c>
      <c r="ID35" t="e">
        <f>AND('Listado General'!#REF!,"AAAAAB/z5+0=")</f>
        <v>#REF!</v>
      </c>
      <c r="IE35" t="e">
        <f>AND('Listado General'!#REF!,"AAAAAB/z5+4=")</f>
        <v>#REF!</v>
      </c>
      <c r="IF35" t="e">
        <f>AND('Listado General'!#REF!,"AAAAAB/z5+8=")</f>
        <v>#REF!</v>
      </c>
      <c r="IG35" t="e">
        <f>AND('Listado General'!#REF!,"AAAAAB/z5/A=")</f>
        <v>#REF!</v>
      </c>
      <c r="IH35" t="e">
        <f>IF('Listado General'!#REF!,"AAAAAB/z5/E=",0)</f>
        <v>#REF!</v>
      </c>
      <c r="II35" t="e">
        <f>AND('Listado General'!#REF!,"AAAAAB/z5/I=")</f>
        <v>#REF!</v>
      </c>
      <c r="IJ35" t="e">
        <f>AND('Listado General'!#REF!,"AAAAAB/z5/M=")</f>
        <v>#REF!</v>
      </c>
      <c r="IK35" t="e">
        <f>AND('Listado General'!#REF!,"AAAAAB/z5/Q=")</f>
        <v>#REF!</v>
      </c>
      <c r="IL35" t="e">
        <f>AND('Listado General'!#REF!,"AAAAAB/z5/U=")</f>
        <v>#REF!</v>
      </c>
      <c r="IM35" t="e">
        <f>AND('Listado General'!#REF!,"AAAAAB/z5/Y=")</f>
        <v>#REF!</v>
      </c>
      <c r="IN35" t="e">
        <f>AND('Listado General'!#REF!,"AAAAAB/z5/c=")</f>
        <v>#REF!</v>
      </c>
      <c r="IO35" t="e">
        <f>AND('Listado General'!#REF!,"AAAAAB/z5/g=")</f>
        <v>#REF!</v>
      </c>
      <c r="IP35" t="e">
        <f>AND('Listado General'!#REF!,"AAAAAB/z5/k=")</f>
        <v>#REF!</v>
      </c>
      <c r="IQ35" t="e">
        <f>AND('Listado General'!#REF!,"AAAAAB/z5/o=")</f>
        <v>#REF!</v>
      </c>
      <c r="IR35" t="e">
        <f>IF('Listado General'!#REF!,"AAAAAB/z5/s=",0)</f>
        <v>#REF!</v>
      </c>
      <c r="IS35" t="e">
        <f>AND('Listado General'!#REF!,"AAAAAB/z5/w=")</f>
        <v>#REF!</v>
      </c>
      <c r="IT35" t="e">
        <f>AND('Listado General'!#REF!,"AAAAAB/z5/0=")</f>
        <v>#REF!</v>
      </c>
      <c r="IU35" t="e">
        <f>AND('Listado General'!#REF!,"AAAAAB/z5/4=")</f>
        <v>#REF!</v>
      </c>
      <c r="IV35" t="e">
        <f>AND('Listado General'!#REF!,"AAAAAB/z5/8=")</f>
        <v>#REF!</v>
      </c>
    </row>
    <row r="36" spans="1:256" ht="12.75">
      <c r="A36" t="e">
        <f>AND('Listado General'!#REF!,"AAAAABm8/gA=")</f>
        <v>#REF!</v>
      </c>
      <c r="B36" t="e">
        <f>AND('Listado General'!#REF!,"AAAAABm8/gE=")</f>
        <v>#REF!</v>
      </c>
      <c r="C36" t="e">
        <f>AND('Listado General'!#REF!,"AAAAABm8/gI=")</f>
        <v>#REF!</v>
      </c>
      <c r="D36" t="e">
        <f>AND('Listado General'!#REF!,"AAAAABm8/gM=")</f>
        <v>#REF!</v>
      </c>
      <c r="E36" t="e">
        <f>AND('Listado General'!#REF!,"AAAAABm8/gQ=")</f>
        <v>#REF!</v>
      </c>
      <c r="F36" t="e">
        <f>IF('Listado General'!#REF!,"AAAAABm8/gU=",0)</f>
        <v>#REF!</v>
      </c>
      <c r="G36" t="e">
        <f>AND('Listado General'!#REF!,"AAAAABm8/gY=")</f>
        <v>#REF!</v>
      </c>
      <c r="H36" t="e">
        <f>AND('Listado General'!#REF!,"AAAAABm8/gc=")</f>
        <v>#REF!</v>
      </c>
      <c r="I36" t="e">
        <f>AND('Listado General'!#REF!,"AAAAABm8/gg=")</f>
        <v>#REF!</v>
      </c>
      <c r="J36" t="e">
        <f>AND('Listado General'!#REF!,"AAAAABm8/gk=")</f>
        <v>#REF!</v>
      </c>
      <c r="K36" t="e">
        <f>AND('Listado General'!#REF!,"AAAAABm8/go=")</f>
        <v>#REF!</v>
      </c>
      <c r="L36" t="e">
        <f>AND('Listado General'!#REF!,"AAAAABm8/gs=")</f>
        <v>#REF!</v>
      </c>
      <c r="M36" t="e">
        <f>AND('Listado General'!#REF!,"AAAAABm8/gw=")</f>
        <v>#REF!</v>
      </c>
      <c r="N36" t="e">
        <f>AND('Listado General'!#REF!,"AAAAABm8/g0=")</f>
        <v>#REF!</v>
      </c>
      <c r="O36" t="e">
        <f>AND('Listado General'!#REF!,"AAAAABm8/g4=")</f>
        <v>#REF!</v>
      </c>
      <c r="P36" t="e">
        <f>IF('Listado General'!#REF!,"AAAAABm8/g8=",0)</f>
        <v>#REF!</v>
      </c>
      <c r="Q36" t="e">
        <f>AND('Listado General'!#REF!,"AAAAABm8/hA=")</f>
        <v>#REF!</v>
      </c>
      <c r="R36" t="e">
        <f>AND('Listado General'!#REF!,"AAAAABm8/hE=")</f>
        <v>#REF!</v>
      </c>
      <c r="S36" t="e">
        <f>AND('Listado General'!#REF!,"AAAAABm8/hI=")</f>
        <v>#REF!</v>
      </c>
      <c r="T36" t="e">
        <f>AND('Listado General'!#REF!,"AAAAABm8/hM=")</f>
        <v>#REF!</v>
      </c>
      <c r="U36" t="e">
        <f>AND('Listado General'!#REF!,"AAAAABm8/hQ=")</f>
        <v>#REF!</v>
      </c>
      <c r="V36" t="e">
        <f>AND('Listado General'!#REF!,"AAAAABm8/hU=")</f>
        <v>#REF!</v>
      </c>
      <c r="W36" t="e">
        <f>AND('Listado General'!#REF!,"AAAAABm8/hY=")</f>
        <v>#REF!</v>
      </c>
      <c r="X36" t="e">
        <f>AND('Listado General'!#REF!,"AAAAABm8/hc=")</f>
        <v>#REF!</v>
      </c>
      <c r="Y36" t="e">
        <f>AND('Listado General'!#REF!,"AAAAABm8/hg=")</f>
        <v>#REF!</v>
      </c>
      <c r="Z36" t="e">
        <f>IF('Listado General'!#REF!,"AAAAABm8/hk=",0)</f>
        <v>#REF!</v>
      </c>
      <c r="AA36" t="e">
        <f>AND('Listado General'!#REF!,"AAAAABm8/ho=")</f>
        <v>#REF!</v>
      </c>
      <c r="AB36" t="e">
        <f>AND('Listado General'!#REF!,"AAAAABm8/hs=")</f>
        <v>#REF!</v>
      </c>
      <c r="AC36" t="e">
        <f>AND('Listado General'!#REF!,"AAAAABm8/hw=")</f>
        <v>#REF!</v>
      </c>
      <c r="AD36" t="e">
        <f>AND('Listado General'!#REF!,"AAAAABm8/h0=")</f>
        <v>#REF!</v>
      </c>
      <c r="AE36" t="e">
        <f>AND('Listado General'!#REF!,"AAAAABm8/h4=")</f>
        <v>#REF!</v>
      </c>
      <c r="AF36" t="e">
        <f>AND('Listado General'!#REF!,"AAAAABm8/h8=")</f>
        <v>#REF!</v>
      </c>
      <c r="AG36" t="e">
        <f>AND('Listado General'!#REF!,"AAAAABm8/iA=")</f>
        <v>#REF!</v>
      </c>
      <c r="AH36" t="e">
        <f>AND('Listado General'!#REF!,"AAAAABm8/iE=")</f>
        <v>#REF!</v>
      </c>
      <c r="AI36" t="e">
        <f>AND('Listado General'!#REF!,"AAAAABm8/iI=")</f>
        <v>#REF!</v>
      </c>
      <c r="AJ36" t="e">
        <f>IF('Listado General'!#REF!,"AAAAABm8/iM=",0)</f>
        <v>#REF!</v>
      </c>
      <c r="AK36" t="e">
        <f>AND('Listado General'!#REF!,"AAAAABm8/iQ=")</f>
        <v>#REF!</v>
      </c>
      <c r="AL36" t="e">
        <f>AND('Listado General'!#REF!,"AAAAABm8/iU=")</f>
        <v>#REF!</v>
      </c>
      <c r="AM36" t="e">
        <f>AND('Listado General'!#REF!,"AAAAABm8/iY=")</f>
        <v>#REF!</v>
      </c>
      <c r="AN36" t="e">
        <f>AND('Listado General'!#REF!,"AAAAABm8/ic=")</f>
        <v>#REF!</v>
      </c>
      <c r="AO36" t="e">
        <f>AND('Listado General'!#REF!,"AAAAABm8/ig=")</f>
        <v>#REF!</v>
      </c>
      <c r="AP36" t="e">
        <f>AND('Listado General'!#REF!,"AAAAABm8/ik=")</f>
        <v>#REF!</v>
      </c>
      <c r="AQ36" t="e">
        <f>AND('Listado General'!#REF!,"AAAAABm8/io=")</f>
        <v>#REF!</v>
      </c>
      <c r="AR36" t="e">
        <f>AND('Listado General'!#REF!,"AAAAABm8/is=")</f>
        <v>#REF!</v>
      </c>
      <c r="AS36" t="e">
        <f>AND('Listado General'!#REF!,"AAAAABm8/iw=")</f>
        <v>#REF!</v>
      </c>
      <c r="AT36" t="e">
        <f>IF('Listado General'!#REF!,"AAAAABm8/i0=",0)</f>
        <v>#REF!</v>
      </c>
      <c r="AU36" t="e">
        <f>AND('Listado General'!#REF!,"AAAAABm8/i4=")</f>
        <v>#REF!</v>
      </c>
      <c r="AV36" t="e">
        <f>AND('Listado General'!#REF!,"AAAAABm8/i8=")</f>
        <v>#REF!</v>
      </c>
      <c r="AW36" t="e">
        <f>AND('Listado General'!#REF!,"AAAAABm8/jA=")</f>
        <v>#REF!</v>
      </c>
      <c r="AX36" t="e">
        <f>AND('Listado General'!#REF!,"AAAAABm8/jE=")</f>
        <v>#REF!</v>
      </c>
      <c r="AY36" t="e">
        <f>AND('Listado General'!#REF!,"AAAAABm8/jI=")</f>
        <v>#REF!</v>
      </c>
      <c r="AZ36" t="e">
        <f>AND('Listado General'!#REF!,"AAAAABm8/jM=")</f>
        <v>#REF!</v>
      </c>
      <c r="BA36" t="e">
        <f>AND('Listado General'!#REF!,"AAAAABm8/jQ=")</f>
        <v>#REF!</v>
      </c>
      <c r="BB36" t="e">
        <f>AND('Listado General'!#REF!,"AAAAABm8/jU=")</f>
        <v>#REF!</v>
      </c>
      <c r="BC36" t="e">
        <f>AND('Listado General'!#REF!,"AAAAABm8/jY=")</f>
        <v>#REF!</v>
      </c>
      <c r="BD36" t="e">
        <f>IF('Listado General'!#REF!,"AAAAABm8/jc=",0)</f>
        <v>#REF!</v>
      </c>
      <c r="BE36" t="e">
        <f>AND('Listado General'!#REF!,"AAAAABm8/jg=")</f>
        <v>#REF!</v>
      </c>
      <c r="BF36" t="e">
        <f>AND('Listado General'!#REF!,"AAAAABm8/jk=")</f>
        <v>#REF!</v>
      </c>
      <c r="BG36" t="e">
        <f>AND('Listado General'!#REF!,"AAAAABm8/jo=")</f>
        <v>#REF!</v>
      </c>
      <c r="BH36" t="e">
        <f>AND('Listado General'!#REF!,"AAAAABm8/js=")</f>
        <v>#REF!</v>
      </c>
      <c r="BI36" t="e">
        <f>AND('Listado General'!#REF!,"AAAAABm8/jw=")</f>
        <v>#REF!</v>
      </c>
      <c r="BJ36" t="e">
        <f>AND('Listado General'!#REF!,"AAAAABm8/j0=")</f>
        <v>#REF!</v>
      </c>
      <c r="BK36" t="e">
        <f>AND('Listado General'!#REF!,"AAAAABm8/j4=")</f>
        <v>#REF!</v>
      </c>
      <c r="BL36" t="e">
        <f>AND('Listado General'!#REF!,"AAAAABm8/j8=")</f>
        <v>#REF!</v>
      </c>
      <c r="BM36" t="e">
        <f>AND('Listado General'!#REF!,"AAAAABm8/kA=")</f>
        <v>#REF!</v>
      </c>
      <c r="BN36" t="e">
        <f>IF('Listado General'!#REF!,"AAAAABm8/kE=",0)</f>
        <v>#REF!</v>
      </c>
      <c r="BO36" t="e">
        <f>AND('Listado General'!#REF!,"AAAAABm8/kI=")</f>
        <v>#REF!</v>
      </c>
      <c r="BP36" t="e">
        <f>AND('Listado General'!#REF!,"AAAAABm8/kM=")</f>
        <v>#REF!</v>
      </c>
      <c r="BQ36" t="e">
        <f>AND('Listado General'!#REF!,"AAAAABm8/kQ=")</f>
        <v>#REF!</v>
      </c>
      <c r="BR36" t="e">
        <f>AND('Listado General'!#REF!,"AAAAABm8/kU=")</f>
        <v>#REF!</v>
      </c>
      <c r="BS36" t="e">
        <f>AND('Listado General'!#REF!,"AAAAABm8/kY=")</f>
        <v>#REF!</v>
      </c>
      <c r="BT36" t="e">
        <f>AND('Listado General'!#REF!,"AAAAABm8/kc=")</f>
        <v>#REF!</v>
      </c>
      <c r="BU36" t="e">
        <f>AND('Listado General'!#REF!,"AAAAABm8/kg=")</f>
        <v>#REF!</v>
      </c>
      <c r="BV36" t="e">
        <f>AND('Listado General'!#REF!,"AAAAABm8/kk=")</f>
        <v>#REF!</v>
      </c>
      <c r="BW36" t="e">
        <f>AND('Listado General'!#REF!,"AAAAABm8/ko=")</f>
        <v>#REF!</v>
      </c>
      <c r="BX36" t="e">
        <f>IF('Listado General'!#REF!,"AAAAABm8/ks=",0)</f>
        <v>#REF!</v>
      </c>
      <c r="BY36" t="e">
        <f>AND('Listado General'!#REF!,"AAAAABm8/kw=")</f>
        <v>#REF!</v>
      </c>
      <c r="BZ36" t="e">
        <f>AND('Listado General'!#REF!,"AAAAABm8/k0=")</f>
        <v>#REF!</v>
      </c>
      <c r="CA36" t="e">
        <f>AND('Listado General'!#REF!,"AAAAABm8/k4=")</f>
        <v>#REF!</v>
      </c>
      <c r="CB36" t="e">
        <f>AND('Listado General'!#REF!,"AAAAABm8/k8=")</f>
        <v>#REF!</v>
      </c>
      <c r="CC36" t="e">
        <f>AND('Listado General'!#REF!,"AAAAABm8/lA=")</f>
        <v>#REF!</v>
      </c>
      <c r="CD36" t="e">
        <f>AND('Listado General'!#REF!,"AAAAABm8/lE=")</f>
        <v>#REF!</v>
      </c>
      <c r="CE36" t="e">
        <f>AND('Listado General'!#REF!,"AAAAABm8/lI=")</f>
        <v>#REF!</v>
      </c>
      <c r="CF36" t="e">
        <f>AND('Listado General'!#REF!,"AAAAABm8/lM=")</f>
        <v>#REF!</v>
      </c>
      <c r="CG36" t="e">
        <f>AND('Listado General'!#REF!,"AAAAABm8/lQ=")</f>
        <v>#REF!</v>
      </c>
      <c r="CH36" t="e">
        <f>IF('Listado General'!#REF!,"AAAAABm8/lU=",0)</f>
        <v>#REF!</v>
      </c>
      <c r="CI36" t="e">
        <f>AND('Listado General'!#REF!,"AAAAABm8/lY=")</f>
        <v>#REF!</v>
      </c>
      <c r="CJ36" t="e">
        <f>AND('Listado General'!#REF!,"AAAAABm8/lc=")</f>
        <v>#REF!</v>
      </c>
      <c r="CK36" t="e">
        <f>AND('Listado General'!#REF!,"AAAAABm8/lg=")</f>
        <v>#REF!</v>
      </c>
      <c r="CL36" t="e">
        <f>AND('Listado General'!#REF!,"AAAAABm8/lk=")</f>
        <v>#REF!</v>
      </c>
      <c r="CM36" t="e">
        <f>AND('Listado General'!#REF!,"AAAAABm8/lo=")</f>
        <v>#REF!</v>
      </c>
      <c r="CN36" t="e">
        <f>AND('Listado General'!#REF!,"AAAAABm8/ls=")</f>
        <v>#REF!</v>
      </c>
      <c r="CO36" t="e">
        <f>AND('Listado General'!#REF!,"AAAAABm8/lw=")</f>
        <v>#REF!</v>
      </c>
      <c r="CP36" t="e">
        <f>AND('Listado General'!#REF!,"AAAAABm8/l0=")</f>
        <v>#REF!</v>
      </c>
      <c r="CQ36" t="e">
        <f>AND('Listado General'!#REF!,"AAAAABm8/l4=")</f>
        <v>#REF!</v>
      </c>
      <c r="CR36" t="e">
        <f>IF('Listado General'!#REF!,"AAAAABm8/l8=",0)</f>
        <v>#REF!</v>
      </c>
      <c r="CS36" t="e">
        <f>AND('Listado General'!#REF!,"AAAAABm8/mA=")</f>
        <v>#REF!</v>
      </c>
      <c r="CT36" t="e">
        <f>AND('Listado General'!#REF!,"AAAAABm8/mE=")</f>
        <v>#REF!</v>
      </c>
      <c r="CU36" t="e">
        <f>AND('Listado General'!#REF!,"AAAAABm8/mI=")</f>
        <v>#REF!</v>
      </c>
      <c r="CV36" t="e">
        <f>AND('Listado General'!#REF!,"AAAAABm8/mM=")</f>
        <v>#REF!</v>
      </c>
      <c r="CW36" t="e">
        <f>AND('Listado General'!#REF!,"AAAAABm8/mQ=")</f>
        <v>#REF!</v>
      </c>
      <c r="CX36" t="e">
        <f>AND('Listado General'!#REF!,"AAAAABm8/mU=")</f>
        <v>#REF!</v>
      </c>
      <c r="CY36" t="e">
        <f>AND('Listado General'!#REF!,"AAAAABm8/mY=")</f>
        <v>#REF!</v>
      </c>
      <c r="CZ36" t="e">
        <f>AND('Listado General'!#REF!,"AAAAABm8/mc=")</f>
        <v>#REF!</v>
      </c>
      <c r="DA36" t="e">
        <f>AND('Listado General'!#REF!,"AAAAABm8/mg=")</f>
        <v>#REF!</v>
      </c>
      <c r="DB36" t="e">
        <f>IF('Listado General'!#REF!,"AAAAABm8/mk=",0)</f>
        <v>#REF!</v>
      </c>
      <c r="DC36" t="e">
        <f>AND('Listado General'!#REF!,"AAAAABm8/mo=")</f>
        <v>#REF!</v>
      </c>
      <c r="DD36" t="e">
        <f>AND('Listado General'!#REF!,"AAAAABm8/ms=")</f>
        <v>#REF!</v>
      </c>
      <c r="DE36" t="e">
        <f>AND('Listado General'!#REF!,"AAAAABm8/mw=")</f>
        <v>#REF!</v>
      </c>
      <c r="DF36" t="e">
        <f>AND('Listado General'!#REF!,"AAAAABm8/m0=")</f>
        <v>#REF!</v>
      </c>
      <c r="DG36" t="e">
        <f>AND('Listado General'!#REF!,"AAAAABm8/m4=")</f>
        <v>#REF!</v>
      </c>
      <c r="DH36" t="e">
        <f>AND('Listado General'!#REF!,"AAAAABm8/m8=")</f>
        <v>#REF!</v>
      </c>
      <c r="DI36" t="e">
        <f>AND('Listado General'!#REF!,"AAAAABm8/nA=")</f>
        <v>#REF!</v>
      </c>
      <c r="DJ36" t="e">
        <f>AND('Listado General'!#REF!,"AAAAABm8/nE=")</f>
        <v>#REF!</v>
      </c>
      <c r="DK36" t="e">
        <f>AND('Listado General'!#REF!,"AAAAABm8/nI=")</f>
        <v>#REF!</v>
      </c>
      <c r="DL36" t="e">
        <f>IF('Listado General'!#REF!,"AAAAABm8/nM=",0)</f>
        <v>#REF!</v>
      </c>
      <c r="DM36" t="e">
        <f>AND('Listado General'!#REF!,"AAAAABm8/nQ=")</f>
        <v>#REF!</v>
      </c>
      <c r="DN36" t="e">
        <f>AND('Listado General'!#REF!,"AAAAABm8/nU=")</f>
        <v>#REF!</v>
      </c>
      <c r="DO36" t="e">
        <f>AND('Listado General'!#REF!,"AAAAABm8/nY=")</f>
        <v>#REF!</v>
      </c>
      <c r="DP36" t="e">
        <f>AND('Listado General'!#REF!,"AAAAABm8/nc=")</f>
        <v>#REF!</v>
      </c>
      <c r="DQ36" t="e">
        <f>AND('Listado General'!#REF!,"AAAAABm8/ng=")</f>
        <v>#REF!</v>
      </c>
      <c r="DR36" t="e">
        <f>AND('Listado General'!#REF!,"AAAAABm8/nk=")</f>
        <v>#REF!</v>
      </c>
      <c r="DS36" t="e">
        <f>AND('Listado General'!#REF!,"AAAAABm8/no=")</f>
        <v>#REF!</v>
      </c>
      <c r="DT36" t="e">
        <f>AND('Listado General'!#REF!,"AAAAABm8/ns=")</f>
        <v>#REF!</v>
      </c>
      <c r="DU36" t="e">
        <f>AND('Listado General'!#REF!,"AAAAABm8/nw=")</f>
        <v>#REF!</v>
      </c>
      <c r="DV36" t="e">
        <f>IF('Listado General'!#REF!,"AAAAABm8/n0=",0)</f>
        <v>#REF!</v>
      </c>
      <c r="DW36" t="e">
        <f>AND('Listado General'!#REF!,"AAAAABm8/n4=")</f>
        <v>#REF!</v>
      </c>
      <c r="DX36" t="e">
        <f>AND('Listado General'!#REF!,"AAAAABm8/n8=")</f>
        <v>#REF!</v>
      </c>
      <c r="DY36" t="e">
        <f>AND('Listado General'!#REF!,"AAAAABm8/oA=")</f>
        <v>#REF!</v>
      </c>
      <c r="DZ36" t="e">
        <f>AND('Listado General'!#REF!,"AAAAABm8/oE=")</f>
        <v>#REF!</v>
      </c>
      <c r="EA36" t="e">
        <f>AND('Listado General'!#REF!,"AAAAABm8/oI=")</f>
        <v>#REF!</v>
      </c>
      <c r="EB36" t="e">
        <f>AND('Listado General'!#REF!,"AAAAABm8/oM=")</f>
        <v>#REF!</v>
      </c>
      <c r="EC36" t="e">
        <f>AND('Listado General'!#REF!,"AAAAABm8/oQ=")</f>
        <v>#REF!</v>
      </c>
      <c r="ED36" t="e">
        <f>AND('Listado General'!#REF!,"AAAAABm8/oU=")</f>
        <v>#REF!</v>
      </c>
      <c r="EE36" t="e">
        <f>AND('Listado General'!#REF!,"AAAAABm8/oY=")</f>
        <v>#REF!</v>
      </c>
      <c r="EF36" t="e">
        <f>IF('Listado General'!#REF!,"AAAAABm8/oc=",0)</f>
        <v>#REF!</v>
      </c>
      <c r="EG36" t="e">
        <f>AND('Listado General'!#REF!,"AAAAABm8/og=")</f>
        <v>#REF!</v>
      </c>
      <c r="EH36" t="e">
        <f>AND('Listado General'!#REF!,"AAAAABm8/ok=")</f>
        <v>#REF!</v>
      </c>
      <c r="EI36" t="e">
        <f>AND('Listado General'!#REF!,"AAAAABm8/oo=")</f>
        <v>#REF!</v>
      </c>
      <c r="EJ36" t="e">
        <f>AND('Listado General'!#REF!,"AAAAABm8/os=")</f>
        <v>#REF!</v>
      </c>
      <c r="EK36" t="e">
        <f>AND('Listado General'!#REF!,"AAAAABm8/ow=")</f>
        <v>#REF!</v>
      </c>
      <c r="EL36" t="e">
        <f>AND('Listado General'!#REF!,"AAAAABm8/o0=")</f>
        <v>#REF!</v>
      </c>
      <c r="EM36" t="e">
        <f>AND('Listado General'!#REF!,"AAAAABm8/o4=")</f>
        <v>#REF!</v>
      </c>
      <c r="EN36" t="e">
        <f>AND('Listado General'!#REF!,"AAAAABm8/o8=")</f>
        <v>#REF!</v>
      </c>
      <c r="EO36" t="e">
        <f>AND('Listado General'!#REF!,"AAAAABm8/pA=")</f>
        <v>#REF!</v>
      </c>
      <c r="EP36" t="e">
        <f>IF('Listado General'!#REF!,"AAAAABm8/pE=",0)</f>
        <v>#REF!</v>
      </c>
      <c r="EQ36" t="e">
        <f>AND('Listado General'!#REF!,"AAAAABm8/pI=")</f>
        <v>#REF!</v>
      </c>
      <c r="ER36" t="e">
        <f>AND('Listado General'!#REF!,"AAAAABm8/pM=")</f>
        <v>#REF!</v>
      </c>
      <c r="ES36" t="e">
        <f>AND('Listado General'!#REF!,"AAAAABm8/pQ=")</f>
        <v>#REF!</v>
      </c>
      <c r="ET36" t="e">
        <f>AND('Listado General'!#REF!,"AAAAABm8/pU=")</f>
        <v>#REF!</v>
      </c>
      <c r="EU36" t="e">
        <f>AND('Listado General'!#REF!,"AAAAABm8/pY=")</f>
        <v>#REF!</v>
      </c>
      <c r="EV36" t="e">
        <f>AND('Listado General'!#REF!,"AAAAABm8/pc=")</f>
        <v>#REF!</v>
      </c>
      <c r="EW36" t="e">
        <f>AND('Listado General'!#REF!,"AAAAABm8/pg=")</f>
        <v>#REF!</v>
      </c>
      <c r="EX36" t="e">
        <f>AND('Listado General'!#REF!,"AAAAABm8/pk=")</f>
        <v>#REF!</v>
      </c>
      <c r="EY36" t="e">
        <f>AND('Listado General'!#REF!,"AAAAABm8/po=")</f>
        <v>#REF!</v>
      </c>
      <c r="EZ36" t="e">
        <f>IF('Listado General'!#REF!,"AAAAABm8/ps=",0)</f>
        <v>#REF!</v>
      </c>
      <c r="FA36" t="e">
        <f>AND('Listado General'!#REF!,"AAAAABm8/pw=")</f>
        <v>#REF!</v>
      </c>
      <c r="FB36" t="e">
        <f>AND('Listado General'!#REF!,"AAAAABm8/p0=")</f>
        <v>#REF!</v>
      </c>
      <c r="FC36" t="e">
        <f>AND('Listado General'!#REF!,"AAAAABm8/p4=")</f>
        <v>#REF!</v>
      </c>
      <c r="FD36" t="e">
        <f>AND('Listado General'!#REF!,"AAAAABm8/p8=")</f>
        <v>#REF!</v>
      </c>
      <c r="FE36" t="e">
        <f>AND('Listado General'!#REF!,"AAAAABm8/qA=")</f>
        <v>#REF!</v>
      </c>
      <c r="FF36" t="e">
        <f>AND('Listado General'!#REF!,"AAAAABm8/qE=")</f>
        <v>#REF!</v>
      </c>
      <c r="FG36" t="e">
        <f>AND('Listado General'!#REF!,"AAAAABm8/qI=")</f>
        <v>#REF!</v>
      </c>
      <c r="FH36" t="e">
        <f>AND('Listado General'!#REF!,"AAAAABm8/qM=")</f>
        <v>#REF!</v>
      </c>
      <c r="FI36" t="e">
        <f>AND('Listado General'!#REF!,"AAAAABm8/qQ=")</f>
        <v>#REF!</v>
      </c>
      <c r="FJ36" t="e">
        <f>IF('Listado General'!#REF!,"AAAAABm8/qU=",0)</f>
        <v>#REF!</v>
      </c>
      <c r="FK36" t="e">
        <f>AND('Listado General'!#REF!,"AAAAABm8/qY=")</f>
        <v>#REF!</v>
      </c>
      <c r="FL36" t="e">
        <f>AND('Listado General'!#REF!,"AAAAABm8/qc=")</f>
        <v>#REF!</v>
      </c>
      <c r="FM36" t="e">
        <f>AND('Listado General'!#REF!,"AAAAABm8/qg=")</f>
        <v>#REF!</v>
      </c>
      <c r="FN36" t="e">
        <f>AND('Listado General'!#REF!,"AAAAABm8/qk=")</f>
        <v>#REF!</v>
      </c>
      <c r="FO36" t="e">
        <f>AND('Listado General'!#REF!,"AAAAABm8/qo=")</f>
        <v>#REF!</v>
      </c>
      <c r="FP36" t="e">
        <f>AND('Listado General'!#REF!,"AAAAABm8/qs=")</f>
        <v>#REF!</v>
      </c>
      <c r="FQ36" t="e">
        <f>AND('Listado General'!#REF!,"AAAAABm8/qw=")</f>
        <v>#REF!</v>
      </c>
      <c r="FR36" t="e">
        <f>AND('Listado General'!#REF!,"AAAAABm8/q0=")</f>
        <v>#REF!</v>
      </c>
      <c r="FS36" t="e">
        <f>AND('Listado General'!#REF!,"AAAAABm8/q4=")</f>
        <v>#REF!</v>
      </c>
      <c r="FT36" t="e">
        <f>IF('Listado General'!#REF!,"AAAAABm8/q8=",0)</f>
        <v>#REF!</v>
      </c>
      <c r="FU36" t="e">
        <f>AND('Listado General'!#REF!,"AAAAABm8/rA=")</f>
        <v>#REF!</v>
      </c>
      <c r="FV36" t="e">
        <f>AND('Listado General'!#REF!,"AAAAABm8/rE=")</f>
        <v>#REF!</v>
      </c>
      <c r="FW36" t="e">
        <f>AND('Listado General'!#REF!,"AAAAABm8/rI=")</f>
        <v>#REF!</v>
      </c>
      <c r="FX36" t="e">
        <f>AND('Listado General'!#REF!,"AAAAABm8/rM=")</f>
        <v>#REF!</v>
      </c>
      <c r="FY36" t="e">
        <f>AND('Listado General'!#REF!,"AAAAABm8/rQ=")</f>
        <v>#REF!</v>
      </c>
      <c r="FZ36" t="e">
        <f>AND('Listado General'!#REF!,"AAAAABm8/rU=")</f>
        <v>#REF!</v>
      </c>
      <c r="GA36" t="e">
        <f>AND('Listado General'!#REF!,"AAAAABm8/rY=")</f>
        <v>#REF!</v>
      </c>
      <c r="GB36" t="e">
        <f>AND('Listado General'!#REF!,"AAAAABm8/rc=")</f>
        <v>#REF!</v>
      </c>
      <c r="GC36" t="e">
        <f>AND('Listado General'!#REF!,"AAAAABm8/rg=")</f>
        <v>#REF!</v>
      </c>
      <c r="GD36" t="e">
        <f>IF('Listado General'!#REF!,"AAAAABm8/rk=",0)</f>
        <v>#REF!</v>
      </c>
      <c r="GE36" t="e">
        <f>AND('Listado General'!#REF!,"AAAAABm8/ro=")</f>
        <v>#REF!</v>
      </c>
      <c r="GF36" t="e">
        <f>AND('Listado General'!#REF!,"AAAAABm8/rs=")</f>
        <v>#REF!</v>
      </c>
      <c r="GG36" t="e">
        <f>AND('Listado General'!#REF!,"AAAAABm8/rw=")</f>
        <v>#REF!</v>
      </c>
      <c r="GH36" t="e">
        <f>AND('Listado General'!#REF!,"AAAAABm8/r0=")</f>
        <v>#REF!</v>
      </c>
      <c r="GI36" t="e">
        <f>AND('Listado General'!#REF!,"AAAAABm8/r4=")</f>
        <v>#REF!</v>
      </c>
      <c r="GJ36" t="e">
        <f>AND('Listado General'!#REF!,"AAAAABm8/r8=")</f>
        <v>#REF!</v>
      </c>
      <c r="GK36" t="e">
        <f>AND('Listado General'!#REF!,"AAAAABm8/sA=")</f>
        <v>#REF!</v>
      </c>
      <c r="GL36" t="e">
        <f>AND('Listado General'!#REF!,"AAAAABm8/sE=")</f>
        <v>#REF!</v>
      </c>
      <c r="GM36" t="e">
        <f>AND('Listado General'!#REF!,"AAAAABm8/sI=")</f>
        <v>#REF!</v>
      </c>
      <c r="GN36" t="e">
        <f>IF('Listado General'!#REF!,"AAAAABm8/sM=",0)</f>
        <v>#REF!</v>
      </c>
      <c r="GO36" t="e">
        <f>AND('Listado General'!#REF!,"AAAAABm8/sQ=")</f>
        <v>#REF!</v>
      </c>
      <c r="GP36" t="e">
        <f>AND('Listado General'!#REF!,"AAAAABm8/sU=")</f>
        <v>#REF!</v>
      </c>
      <c r="GQ36" t="e">
        <f>AND('Listado General'!#REF!,"AAAAABm8/sY=")</f>
        <v>#REF!</v>
      </c>
      <c r="GR36" t="e">
        <f>AND('Listado General'!#REF!,"AAAAABm8/sc=")</f>
        <v>#REF!</v>
      </c>
      <c r="GS36" t="e">
        <f>AND('Listado General'!#REF!,"AAAAABm8/sg=")</f>
        <v>#REF!</v>
      </c>
      <c r="GT36" t="e">
        <f>AND('Listado General'!#REF!,"AAAAABm8/sk=")</f>
        <v>#REF!</v>
      </c>
      <c r="GU36" t="e">
        <f>AND('Listado General'!#REF!,"AAAAABm8/so=")</f>
        <v>#REF!</v>
      </c>
      <c r="GV36" t="e">
        <f>AND('Listado General'!#REF!,"AAAAABm8/ss=")</f>
        <v>#REF!</v>
      </c>
      <c r="GW36" t="e">
        <f>AND('Listado General'!#REF!,"AAAAABm8/sw=")</f>
        <v>#REF!</v>
      </c>
      <c r="GX36" t="e">
        <f>IF('Listado General'!#REF!,"AAAAABm8/s0=",0)</f>
        <v>#REF!</v>
      </c>
      <c r="GY36" t="e">
        <f>AND('Listado General'!#REF!,"AAAAABm8/s4=")</f>
        <v>#REF!</v>
      </c>
      <c r="GZ36" t="e">
        <f>AND('Listado General'!#REF!,"AAAAABm8/s8=")</f>
        <v>#REF!</v>
      </c>
      <c r="HA36" t="e">
        <f>AND('Listado General'!#REF!,"AAAAABm8/tA=")</f>
        <v>#REF!</v>
      </c>
      <c r="HB36" t="e">
        <f>AND('Listado General'!#REF!,"AAAAABm8/tE=")</f>
        <v>#REF!</v>
      </c>
      <c r="HC36" t="e">
        <f>AND('Listado General'!#REF!,"AAAAABm8/tI=")</f>
        <v>#REF!</v>
      </c>
      <c r="HD36" t="e">
        <f>AND('Listado General'!#REF!,"AAAAABm8/tM=")</f>
        <v>#REF!</v>
      </c>
      <c r="HE36" t="e">
        <f>AND('Listado General'!#REF!,"AAAAABm8/tQ=")</f>
        <v>#REF!</v>
      </c>
      <c r="HF36" t="e">
        <f>AND('Listado General'!#REF!,"AAAAABm8/tU=")</f>
        <v>#REF!</v>
      </c>
      <c r="HG36" t="e">
        <f>AND('Listado General'!#REF!,"AAAAABm8/tY=")</f>
        <v>#REF!</v>
      </c>
      <c r="HH36" t="e">
        <f>IF('Listado General'!#REF!,"AAAAABm8/tc=",0)</f>
        <v>#REF!</v>
      </c>
      <c r="HI36" t="e">
        <f>AND('Listado General'!#REF!,"AAAAABm8/tg=")</f>
        <v>#REF!</v>
      </c>
      <c r="HJ36" t="e">
        <f>AND('Listado General'!#REF!,"AAAAABm8/tk=")</f>
        <v>#REF!</v>
      </c>
      <c r="HK36" t="e">
        <f>AND('Listado General'!#REF!,"AAAAABm8/to=")</f>
        <v>#REF!</v>
      </c>
      <c r="HL36" t="e">
        <f>AND('Listado General'!#REF!,"AAAAABm8/ts=")</f>
        <v>#REF!</v>
      </c>
      <c r="HM36" t="e">
        <f>AND('Listado General'!#REF!,"AAAAABm8/tw=")</f>
        <v>#REF!</v>
      </c>
      <c r="HN36" t="e">
        <f>AND('Listado General'!#REF!,"AAAAABm8/t0=")</f>
        <v>#REF!</v>
      </c>
      <c r="HO36" t="e">
        <f>AND('Listado General'!#REF!,"AAAAABm8/t4=")</f>
        <v>#REF!</v>
      </c>
      <c r="HP36" t="e">
        <f>AND('Listado General'!#REF!,"AAAAABm8/t8=")</f>
        <v>#REF!</v>
      </c>
      <c r="HQ36" t="e">
        <f>AND('Listado General'!#REF!,"AAAAABm8/uA=")</f>
        <v>#REF!</v>
      </c>
      <c r="HR36" t="e">
        <f>IF('Listado General'!#REF!,"AAAAABm8/uE=",0)</f>
        <v>#REF!</v>
      </c>
      <c r="HS36" t="e">
        <f>AND('Listado General'!#REF!,"AAAAABm8/uI=")</f>
        <v>#REF!</v>
      </c>
      <c r="HT36" t="e">
        <f>AND('Listado General'!#REF!,"AAAAABm8/uM=")</f>
        <v>#REF!</v>
      </c>
      <c r="HU36" t="e">
        <f>AND('Listado General'!#REF!,"AAAAABm8/uQ=")</f>
        <v>#REF!</v>
      </c>
      <c r="HV36" t="e">
        <f>AND('Listado General'!#REF!,"AAAAABm8/uU=")</f>
        <v>#REF!</v>
      </c>
      <c r="HW36" t="e">
        <f>AND('Listado General'!#REF!,"AAAAABm8/uY=")</f>
        <v>#REF!</v>
      </c>
      <c r="HX36" t="e">
        <f>AND('Listado General'!#REF!,"AAAAABm8/uc=")</f>
        <v>#REF!</v>
      </c>
      <c r="HY36" t="e">
        <f>AND('Listado General'!#REF!,"AAAAABm8/ug=")</f>
        <v>#REF!</v>
      </c>
      <c r="HZ36" t="e">
        <f>AND('Listado General'!#REF!,"AAAAABm8/uk=")</f>
        <v>#REF!</v>
      </c>
      <c r="IA36" t="e">
        <f>AND('Listado General'!#REF!,"AAAAABm8/uo=")</f>
        <v>#REF!</v>
      </c>
      <c r="IB36" t="e">
        <f>IF('Listado General'!#REF!,"AAAAABm8/us=",0)</f>
        <v>#REF!</v>
      </c>
      <c r="IC36" t="e">
        <f>AND('Listado General'!#REF!,"AAAAABm8/uw=")</f>
        <v>#REF!</v>
      </c>
      <c r="ID36" t="e">
        <f>AND('Listado General'!#REF!,"AAAAABm8/u0=")</f>
        <v>#REF!</v>
      </c>
      <c r="IE36" t="e">
        <f>AND('Listado General'!#REF!,"AAAAABm8/u4=")</f>
        <v>#REF!</v>
      </c>
      <c r="IF36" t="e">
        <f>AND('Listado General'!#REF!,"AAAAABm8/u8=")</f>
        <v>#REF!</v>
      </c>
      <c r="IG36" t="e">
        <f>AND('Listado General'!#REF!,"AAAAABm8/vA=")</f>
        <v>#REF!</v>
      </c>
      <c r="IH36" t="e">
        <f>AND('Listado General'!#REF!,"AAAAABm8/vE=")</f>
        <v>#REF!</v>
      </c>
      <c r="II36" t="e">
        <f>AND('Listado General'!#REF!,"AAAAABm8/vI=")</f>
        <v>#REF!</v>
      </c>
      <c r="IJ36" t="e">
        <f>AND('Listado General'!#REF!,"AAAAABm8/vM=")</f>
        <v>#REF!</v>
      </c>
      <c r="IK36" t="e">
        <f>AND('Listado General'!#REF!,"AAAAABm8/vQ=")</f>
        <v>#REF!</v>
      </c>
      <c r="IL36" t="e">
        <f>IF('Listado General'!#REF!,"AAAAABm8/vU=",0)</f>
        <v>#REF!</v>
      </c>
      <c r="IM36" t="e">
        <f>AND('Listado General'!#REF!,"AAAAABm8/vY=")</f>
        <v>#REF!</v>
      </c>
      <c r="IN36" t="e">
        <f>AND('Listado General'!#REF!,"AAAAABm8/vc=")</f>
        <v>#REF!</v>
      </c>
      <c r="IO36" t="e">
        <f>AND('Listado General'!#REF!,"AAAAABm8/vg=")</f>
        <v>#REF!</v>
      </c>
      <c r="IP36" t="e">
        <f>AND('Listado General'!#REF!,"AAAAABm8/vk=")</f>
        <v>#REF!</v>
      </c>
      <c r="IQ36" t="e">
        <f>AND('Listado General'!#REF!,"AAAAABm8/vo=")</f>
        <v>#REF!</v>
      </c>
      <c r="IR36" t="e">
        <f>AND('Listado General'!#REF!,"AAAAABm8/vs=")</f>
        <v>#REF!</v>
      </c>
      <c r="IS36" t="e">
        <f>AND('Listado General'!#REF!,"AAAAABm8/vw=")</f>
        <v>#REF!</v>
      </c>
      <c r="IT36" t="e">
        <f>AND('Listado General'!#REF!,"AAAAABm8/v0=")</f>
        <v>#REF!</v>
      </c>
      <c r="IU36" t="e">
        <f>AND('Listado General'!#REF!,"AAAAABm8/v4=")</f>
        <v>#REF!</v>
      </c>
      <c r="IV36" t="e">
        <f>IF('Listado General'!#REF!,"AAAAABm8/v8=",0)</f>
        <v>#REF!</v>
      </c>
    </row>
    <row r="37" spans="1:256" ht="12.75">
      <c r="A37" t="e">
        <f>AND('Listado General'!#REF!,"AAAAAA1tuQA=")</f>
        <v>#REF!</v>
      </c>
      <c r="B37" t="e">
        <f>AND('Listado General'!#REF!,"AAAAAA1tuQE=")</f>
        <v>#REF!</v>
      </c>
      <c r="C37" t="e">
        <f>AND('Listado General'!#REF!,"AAAAAA1tuQI=")</f>
        <v>#REF!</v>
      </c>
      <c r="D37" t="e">
        <f>AND('Listado General'!#REF!,"AAAAAA1tuQM=")</f>
        <v>#REF!</v>
      </c>
      <c r="E37" t="e">
        <f>AND('Listado General'!#REF!,"AAAAAA1tuQQ=")</f>
        <v>#REF!</v>
      </c>
      <c r="F37" t="e">
        <f>AND('Listado General'!#REF!,"AAAAAA1tuQU=")</f>
        <v>#REF!</v>
      </c>
      <c r="G37" t="e">
        <f>AND('Listado General'!#REF!,"AAAAAA1tuQY=")</f>
        <v>#REF!</v>
      </c>
      <c r="H37" t="e">
        <f>AND('Listado General'!#REF!,"AAAAAA1tuQc=")</f>
        <v>#REF!</v>
      </c>
      <c r="I37" t="e">
        <f>AND('Listado General'!#REF!,"AAAAAA1tuQg=")</f>
        <v>#REF!</v>
      </c>
      <c r="J37" t="e">
        <f>IF('Listado General'!#REF!,"AAAAAA1tuQk=",0)</f>
        <v>#REF!</v>
      </c>
      <c r="K37" t="e">
        <f>AND('Listado General'!#REF!,"AAAAAA1tuQo=")</f>
        <v>#REF!</v>
      </c>
      <c r="L37" t="e">
        <f>AND('Listado General'!#REF!,"AAAAAA1tuQs=")</f>
        <v>#REF!</v>
      </c>
      <c r="M37" t="e">
        <f>AND('Listado General'!#REF!,"AAAAAA1tuQw=")</f>
        <v>#REF!</v>
      </c>
      <c r="N37" t="e">
        <f>AND('Listado General'!#REF!,"AAAAAA1tuQ0=")</f>
        <v>#REF!</v>
      </c>
      <c r="O37" t="e">
        <f>AND('Listado General'!#REF!,"AAAAAA1tuQ4=")</f>
        <v>#REF!</v>
      </c>
      <c r="P37" t="e">
        <f>AND('Listado General'!#REF!,"AAAAAA1tuQ8=")</f>
        <v>#REF!</v>
      </c>
      <c r="Q37" t="e">
        <f>AND('Listado General'!#REF!,"AAAAAA1tuRA=")</f>
        <v>#REF!</v>
      </c>
      <c r="R37" t="e">
        <f>AND('Listado General'!#REF!,"AAAAAA1tuRE=")</f>
        <v>#REF!</v>
      </c>
      <c r="S37" t="e">
        <f>AND('Listado General'!#REF!,"AAAAAA1tuRI=")</f>
        <v>#REF!</v>
      </c>
      <c r="T37" t="e">
        <f>IF('Listado General'!#REF!,"AAAAAA1tuRM=",0)</f>
        <v>#REF!</v>
      </c>
      <c r="U37" t="e">
        <f>AND('Listado General'!#REF!,"AAAAAA1tuRQ=")</f>
        <v>#REF!</v>
      </c>
      <c r="V37" t="e">
        <f>AND('Listado General'!#REF!,"AAAAAA1tuRU=")</f>
        <v>#REF!</v>
      </c>
      <c r="W37" t="e">
        <f>AND('Listado General'!#REF!,"AAAAAA1tuRY=")</f>
        <v>#REF!</v>
      </c>
      <c r="X37" t="e">
        <f>AND('Listado General'!#REF!,"AAAAAA1tuRc=")</f>
        <v>#REF!</v>
      </c>
      <c r="Y37" t="e">
        <f>AND('Listado General'!#REF!,"AAAAAA1tuRg=")</f>
        <v>#REF!</v>
      </c>
      <c r="Z37" t="e">
        <f>AND('Listado General'!#REF!,"AAAAAA1tuRk=")</f>
        <v>#REF!</v>
      </c>
      <c r="AA37" t="e">
        <f>AND('Listado General'!#REF!,"AAAAAA1tuRo=")</f>
        <v>#REF!</v>
      </c>
      <c r="AB37" t="e">
        <f>AND('Listado General'!#REF!,"AAAAAA1tuRs=")</f>
        <v>#REF!</v>
      </c>
      <c r="AC37" t="e">
        <f>AND('Listado General'!#REF!,"AAAAAA1tuRw=")</f>
        <v>#REF!</v>
      </c>
      <c r="AD37" t="e">
        <f>IF('Listado General'!#REF!,"AAAAAA1tuR0=",0)</f>
        <v>#REF!</v>
      </c>
      <c r="AE37" t="e">
        <f>AND('Listado General'!#REF!,"AAAAAA1tuR4=")</f>
        <v>#REF!</v>
      </c>
      <c r="AF37" t="e">
        <f>AND('Listado General'!#REF!,"AAAAAA1tuR8=")</f>
        <v>#REF!</v>
      </c>
      <c r="AG37" t="e">
        <f>AND('Listado General'!#REF!,"AAAAAA1tuSA=")</f>
        <v>#REF!</v>
      </c>
      <c r="AH37" t="e">
        <f>AND('Listado General'!#REF!,"AAAAAA1tuSE=")</f>
        <v>#REF!</v>
      </c>
      <c r="AI37" t="e">
        <f>AND('Listado General'!#REF!,"AAAAAA1tuSI=")</f>
        <v>#REF!</v>
      </c>
      <c r="AJ37" t="e">
        <f>AND('Listado General'!#REF!,"AAAAAA1tuSM=")</f>
        <v>#REF!</v>
      </c>
      <c r="AK37" t="e">
        <f>AND('Listado General'!#REF!,"AAAAAA1tuSQ=")</f>
        <v>#REF!</v>
      </c>
      <c r="AL37" t="e">
        <f>AND('Listado General'!#REF!,"AAAAAA1tuSU=")</f>
        <v>#REF!</v>
      </c>
      <c r="AM37" t="e">
        <f>AND('Listado General'!#REF!,"AAAAAA1tuSY=")</f>
        <v>#REF!</v>
      </c>
      <c r="AN37" t="e">
        <f>IF('Listado General'!#REF!,"AAAAAA1tuSc=",0)</f>
        <v>#REF!</v>
      </c>
      <c r="AO37" t="e">
        <f>AND('Listado General'!#REF!,"AAAAAA1tuSg=")</f>
        <v>#REF!</v>
      </c>
      <c r="AP37" t="e">
        <f>AND('Listado General'!#REF!,"AAAAAA1tuSk=")</f>
        <v>#REF!</v>
      </c>
      <c r="AQ37" t="e">
        <f>AND('Listado General'!#REF!,"AAAAAA1tuSo=")</f>
        <v>#REF!</v>
      </c>
      <c r="AR37" t="e">
        <f>AND('Listado General'!#REF!,"AAAAAA1tuSs=")</f>
        <v>#REF!</v>
      </c>
      <c r="AS37" t="e">
        <f>AND('Listado General'!#REF!,"AAAAAA1tuSw=")</f>
        <v>#REF!</v>
      </c>
      <c r="AT37" t="e">
        <f>AND('Listado General'!#REF!,"AAAAAA1tuS0=")</f>
        <v>#REF!</v>
      </c>
      <c r="AU37" t="e">
        <f>AND('Listado General'!#REF!,"AAAAAA1tuS4=")</f>
        <v>#REF!</v>
      </c>
      <c r="AV37" t="e">
        <f>AND('Listado General'!#REF!,"AAAAAA1tuS8=")</f>
        <v>#REF!</v>
      </c>
      <c r="AW37" t="e">
        <f>AND('Listado General'!#REF!,"AAAAAA1tuTA=")</f>
        <v>#REF!</v>
      </c>
      <c r="AX37" t="e">
        <f>IF('Listado General'!#REF!,"AAAAAA1tuTE=",0)</f>
        <v>#REF!</v>
      </c>
      <c r="AY37" t="e">
        <f>AND('Listado General'!#REF!,"AAAAAA1tuTI=")</f>
        <v>#REF!</v>
      </c>
      <c r="AZ37" t="e">
        <f>AND('Listado General'!#REF!,"AAAAAA1tuTM=")</f>
        <v>#REF!</v>
      </c>
      <c r="BA37" t="e">
        <f>AND('Listado General'!#REF!,"AAAAAA1tuTQ=")</f>
        <v>#REF!</v>
      </c>
      <c r="BB37" t="e">
        <f>AND('Listado General'!#REF!,"AAAAAA1tuTU=")</f>
        <v>#REF!</v>
      </c>
      <c r="BC37" t="e">
        <f>AND('Listado General'!#REF!,"AAAAAA1tuTY=")</f>
        <v>#REF!</v>
      </c>
      <c r="BD37" t="e">
        <f>AND('Listado General'!#REF!,"AAAAAA1tuTc=")</f>
        <v>#REF!</v>
      </c>
      <c r="BE37" t="e">
        <f>AND('Listado General'!#REF!,"AAAAAA1tuTg=")</f>
        <v>#REF!</v>
      </c>
      <c r="BF37" t="e">
        <f>AND('Listado General'!#REF!,"AAAAAA1tuTk=")</f>
        <v>#REF!</v>
      </c>
      <c r="BG37" t="e">
        <f>AND('Listado General'!#REF!,"AAAAAA1tuTo=")</f>
        <v>#REF!</v>
      </c>
      <c r="BH37" t="e">
        <f>IF('Listado General'!#REF!,"AAAAAA1tuTs=",0)</f>
        <v>#REF!</v>
      </c>
      <c r="BI37" t="e">
        <f>AND('Listado General'!#REF!,"AAAAAA1tuTw=")</f>
        <v>#REF!</v>
      </c>
      <c r="BJ37" t="e">
        <f>AND('Listado General'!#REF!,"AAAAAA1tuT0=")</f>
        <v>#REF!</v>
      </c>
      <c r="BK37" t="e">
        <f>AND('Listado General'!#REF!,"AAAAAA1tuT4=")</f>
        <v>#REF!</v>
      </c>
      <c r="BL37" t="e">
        <f>AND('Listado General'!#REF!,"AAAAAA1tuT8=")</f>
        <v>#REF!</v>
      </c>
      <c r="BM37" t="e">
        <f>AND('Listado General'!#REF!,"AAAAAA1tuUA=")</f>
        <v>#REF!</v>
      </c>
      <c r="BN37" t="e">
        <f>AND('Listado General'!#REF!,"AAAAAA1tuUE=")</f>
        <v>#REF!</v>
      </c>
      <c r="BO37" t="e">
        <f>AND('Listado General'!#REF!,"AAAAAA1tuUI=")</f>
        <v>#REF!</v>
      </c>
      <c r="BP37" t="e">
        <f>AND('Listado General'!#REF!,"AAAAAA1tuUM=")</f>
        <v>#REF!</v>
      </c>
      <c r="BQ37" t="e">
        <f>AND('Listado General'!#REF!,"AAAAAA1tuUQ=")</f>
        <v>#REF!</v>
      </c>
      <c r="BR37" t="e">
        <f>IF('Listado General'!#REF!,"AAAAAA1tuUU=",0)</f>
        <v>#REF!</v>
      </c>
      <c r="BS37" t="e">
        <f>AND('Listado General'!#REF!,"AAAAAA1tuUY=")</f>
        <v>#REF!</v>
      </c>
      <c r="BT37" t="e">
        <f>AND('Listado General'!#REF!,"AAAAAA1tuUc=")</f>
        <v>#REF!</v>
      </c>
      <c r="BU37" t="e">
        <f>AND('Listado General'!#REF!,"AAAAAA1tuUg=")</f>
        <v>#REF!</v>
      </c>
      <c r="BV37" t="e">
        <f>AND('Listado General'!#REF!,"AAAAAA1tuUk=")</f>
        <v>#REF!</v>
      </c>
      <c r="BW37" t="e">
        <f>AND('Listado General'!#REF!,"AAAAAA1tuUo=")</f>
        <v>#REF!</v>
      </c>
      <c r="BX37" t="e">
        <f>AND('Listado General'!#REF!,"AAAAAA1tuUs=")</f>
        <v>#REF!</v>
      </c>
      <c r="BY37" t="e">
        <f>AND('Listado General'!#REF!,"AAAAAA1tuUw=")</f>
        <v>#REF!</v>
      </c>
      <c r="BZ37" t="e">
        <f>AND('Listado General'!#REF!,"AAAAAA1tuU0=")</f>
        <v>#REF!</v>
      </c>
      <c r="CA37" t="e">
        <f>AND('Listado General'!#REF!,"AAAAAA1tuU4=")</f>
        <v>#REF!</v>
      </c>
      <c r="CB37" t="e">
        <f>IF('Listado General'!#REF!,"AAAAAA1tuU8=",0)</f>
        <v>#REF!</v>
      </c>
      <c r="CC37" t="e">
        <f>AND('Listado General'!#REF!,"AAAAAA1tuVA=")</f>
        <v>#REF!</v>
      </c>
      <c r="CD37" t="e">
        <f>AND('Listado General'!#REF!,"AAAAAA1tuVE=")</f>
        <v>#REF!</v>
      </c>
      <c r="CE37" t="e">
        <f>AND('Listado General'!#REF!,"AAAAAA1tuVI=")</f>
        <v>#REF!</v>
      </c>
      <c r="CF37" t="e">
        <f>AND('Listado General'!#REF!,"AAAAAA1tuVM=")</f>
        <v>#REF!</v>
      </c>
      <c r="CG37" t="e">
        <f>AND('Listado General'!#REF!,"AAAAAA1tuVQ=")</f>
        <v>#REF!</v>
      </c>
      <c r="CH37" t="e">
        <f>AND('Listado General'!#REF!,"AAAAAA1tuVU=")</f>
        <v>#REF!</v>
      </c>
      <c r="CI37" t="e">
        <f>AND('Listado General'!#REF!,"AAAAAA1tuVY=")</f>
        <v>#REF!</v>
      </c>
      <c r="CJ37" t="e">
        <f>AND('Listado General'!#REF!,"AAAAAA1tuVc=")</f>
        <v>#REF!</v>
      </c>
      <c r="CK37" t="e">
        <f>AND('Listado General'!#REF!,"AAAAAA1tuVg=")</f>
        <v>#REF!</v>
      </c>
      <c r="CL37" t="e">
        <f>IF('Listado General'!#REF!,"AAAAAA1tuVk=",0)</f>
        <v>#REF!</v>
      </c>
      <c r="CM37" t="e">
        <f>AND('Listado General'!#REF!,"AAAAAA1tuVo=")</f>
        <v>#REF!</v>
      </c>
      <c r="CN37" t="e">
        <f>AND('Listado General'!#REF!,"AAAAAA1tuVs=")</f>
        <v>#REF!</v>
      </c>
      <c r="CO37" t="e">
        <f>AND('Listado General'!#REF!,"AAAAAA1tuVw=")</f>
        <v>#REF!</v>
      </c>
      <c r="CP37" t="e">
        <f>AND('Listado General'!#REF!,"AAAAAA1tuV0=")</f>
        <v>#REF!</v>
      </c>
      <c r="CQ37" t="e">
        <f>AND('Listado General'!#REF!,"AAAAAA1tuV4=")</f>
        <v>#REF!</v>
      </c>
      <c r="CR37" t="e">
        <f>AND('Listado General'!#REF!,"AAAAAA1tuV8=")</f>
        <v>#REF!</v>
      </c>
      <c r="CS37" t="e">
        <f>AND('Listado General'!#REF!,"AAAAAA1tuWA=")</f>
        <v>#REF!</v>
      </c>
      <c r="CT37" t="e">
        <f>AND('Listado General'!#REF!,"AAAAAA1tuWE=")</f>
        <v>#REF!</v>
      </c>
      <c r="CU37" t="e">
        <f>AND('Listado General'!#REF!,"AAAAAA1tuWI=")</f>
        <v>#REF!</v>
      </c>
      <c r="CV37" t="e">
        <f>IF('Listado General'!#REF!,"AAAAAA1tuWM=",0)</f>
        <v>#REF!</v>
      </c>
      <c r="CW37" t="e">
        <f>AND('Listado General'!#REF!,"AAAAAA1tuWQ=")</f>
        <v>#REF!</v>
      </c>
      <c r="CX37" t="e">
        <f>AND('Listado General'!#REF!,"AAAAAA1tuWU=")</f>
        <v>#REF!</v>
      </c>
      <c r="CY37" t="e">
        <f>AND('Listado General'!#REF!,"AAAAAA1tuWY=")</f>
        <v>#REF!</v>
      </c>
      <c r="CZ37" t="e">
        <f>AND('Listado General'!#REF!,"AAAAAA1tuWc=")</f>
        <v>#REF!</v>
      </c>
      <c r="DA37" t="e">
        <f>AND('Listado General'!#REF!,"AAAAAA1tuWg=")</f>
        <v>#REF!</v>
      </c>
      <c r="DB37" t="e">
        <f>AND('Listado General'!#REF!,"AAAAAA1tuWk=")</f>
        <v>#REF!</v>
      </c>
      <c r="DC37" t="e">
        <f>AND('Listado General'!#REF!,"AAAAAA1tuWo=")</f>
        <v>#REF!</v>
      </c>
      <c r="DD37" t="e">
        <f>AND('Listado General'!#REF!,"AAAAAA1tuWs=")</f>
        <v>#REF!</v>
      </c>
      <c r="DE37" t="e">
        <f>AND('Listado General'!#REF!,"AAAAAA1tuWw=")</f>
        <v>#REF!</v>
      </c>
      <c r="DF37" t="e">
        <f>IF('Listado General'!#REF!,"AAAAAA1tuW0=",0)</f>
        <v>#REF!</v>
      </c>
      <c r="DG37" t="e">
        <f>AND('Listado General'!#REF!,"AAAAAA1tuW4=")</f>
        <v>#REF!</v>
      </c>
      <c r="DH37" t="e">
        <f>AND('Listado General'!#REF!,"AAAAAA1tuW8=")</f>
        <v>#REF!</v>
      </c>
      <c r="DI37" t="e">
        <f>AND('Listado General'!#REF!,"AAAAAA1tuXA=")</f>
        <v>#REF!</v>
      </c>
      <c r="DJ37" t="e">
        <f>AND('Listado General'!#REF!,"AAAAAA1tuXE=")</f>
        <v>#REF!</v>
      </c>
      <c r="DK37" t="e">
        <f>AND('Listado General'!#REF!,"AAAAAA1tuXI=")</f>
        <v>#REF!</v>
      </c>
      <c r="DL37" t="e">
        <f>AND('Listado General'!#REF!,"AAAAAA1tuXM=")</f>
        <v>#REF!</v>
      </c>
      <c r="DM37" t="e">
        <f>AND('Listado General'!#REF!,"AAAAAA1tuXQ=")</f>
        <v>#REF!</v>
      </c>
      <c r="DN37" t="e">
        <f>AND('Listado General'!#REF!,"AAAAAA1tuXU=")</f>
        <v>#REF!</v>
      </c>
      <c r="DO37" t="e">
        <f>AND('Listado General'!#REF!,"AAAAAA1tuXY=")</f>
        <v>#REF!</v>
      </c>
      <c r="DP37" t="e">
        <f>IF('Listado General'!#REF!,"AAAAAA1tuXc=",0)</f>
        <v>#REF!</v>
      </c>
      <c r="DQ37" t="e">
        <f>AND('Listado General'!#REF!,"AAAAAA1tuXg=")</f>
        <v>#REF!</v>
      </c>
      <c r="DR37" t="e">
        <f>AND('Listado General'!#REF!,"AAAAAA1tuXk=")</f>
        <v>#REF!</v>
      </c>
      <c r="DS37" t="e">
        <f>AND('Listado General'!#REF!,"AAAAAA1tuXo=")</f>
        <v>#REF!</v>
      </c>
      <c r="DT37" t="e">
        <f>AND('Listado General'!#REF!,"AAAAAA1tuXs=")</f>
        <v>#REF!</v>
      </c>
      <c r="DU37" t="e">
        <f>AND('Listado General'!#REF!,"AAAAAA1tuXw=")</f>
        <v>#REF!</v>
      </c>
      <c r="DV37" t="e">
        <f>AND('Listado General'!#REF!,"AAAAAA1tuX0=")</f>
        <v>#REF!</v>
      </c>
      <c r="DW37" t="e">
        <f>AND('Listado General'!#REF!,"AAAAAA1tuX4=")</f>
        <v>#REF!</v>
      </c>
      <c r="DX37" t="e">
        <f>AND('Listado General'!#REF!,"AAAAAA1tuX8=")</f>
        <v>#REF!</v>
      </c>
      <c r="DY37" t="e">
        <f>AND('Listado General'!#REF!,"AAAAAA1tuYA=")</f>
        <v>#REF!</v>
      </c>
      <c r="DZ37" t="e">
        <f>IF('Listado General'!#REF!,"AAAAAA1tuYE=",0)</f>
        <v>#REF!</v>
      </c>
      <c r="EA37" t="e">
        <f>AND('Listado General'!#REF!,"AAAAAA1tuYI=")</f>
        <v>#REF!</v>
      </c>
      <c r="EB37" t="e">
        <f>AND('Listado General'!#REF!,"AAAAAA1tuYM=")</f>
        <v>#REF!</v>
      </c>
      <c r="EC37" t="e">
        <f>AND('Listado General'!#REF!,"AAAAAA1tuYQ=")</f>
        <v>#REF!</v>
      </c>
      <c r="ED37" t="e">
        <f>AND('Listado General'!#REF!,"AAAAAA1tuYU=")</f>
        <v>#REF!</v>
      </c>
      <c r="EE37" t="e">
        <f>AND('Listado General'!#REF!,"AAAAAA1tuYY=")</f>
        <v>#REF!</v>
      </c>
      <c r="EF37" t="e">
        <f>AND('Listado General'!#REF!,"AAAAAA1tuYc=")</f>
        <v>#REF!</v>
      </c>
      <c r="EG37" t="e">
        <f>AND('Listado General'!#REF!,"AAAAAA1tuYg=")</f>
        <v>#REF!</v>
      </c>
      <c r="EH37" t="e">
        <f>AND('Listado General'!#REF!,"AAAAAA1tuYk=")</f>
        <v>#REF!</v>
      </c>
      <c r="EI37" t="e">
        <f>AND('Listado General'!#REF!,"AAAAAA1tuYo=")</f>
        <v>#REF!</v>
      </c>
      <c r="EJ37" t="e">
        <f>IF('Listado General'!#REF!,"AAAAAA1tuYs=",0)</f>
        <v>#REF!</v>
      </c>
      <c r="EK37" t="e">
        <f>AND('Listado General'!#REF!,"AAAAAA1tuYw=")</f>
        <v>#REF!</v>
      </c>
      <c r="EL37" t="e">
        <f>AND('Listado General'!#REF!,"AAAAAA1tuY0=")</f>
        <v>#REF!</v>
      </c>
      <c r="EM37" t="e">
        <f>AND('Listado General'!#REF!,"AAAAAA1tuY4=")</f>
        <v>#REF!</v>
      </c>
      <c r="EN37" t="e">
        <f>AND('Listado General'!#REF!,"AAAAAA1tuY8=")</f>
        <v>#REF!</v>
      </c>
      <c r="EO37" t="e">
        <f>AND('Listado General'!#REF!,"AAAAAA1tuZA=")</f>
        <v>#REF!</v>
      </c>
      <c r="EP37" t="e">
        <f>AND('Listado General'!#REF!,"AAAAAA1tuZE=")</f>
        <v>#REF!</v>
      </c>
      <c r="EQ37" t="e">
        <f>AND('Listado General'!#REF!,"AAAAAA1tuZI=")</f>
        <v>#REF!</v>
      </c>
      <c r="ER37" t="e">
        <f>AND('Listado General'!#REF!,"AAAAAA1tuZM=")</f>
        <v>#REF!</v>
      </c>
      <c r="ES37" t="e">
        <f>AND('Listado General'!#REF!,"AAAAAA1tuZQ=")</f>
        <v>#REF!</v>
      </c>
      <c r="ET37" t="e">
        <f>IF('Listado General'!#REF!,"AAAAAA1tuZU=",0)</f>
        <v>#REF!</v>
      </c>
      <c r="EU37" t="e">
        <f>AND('Listado General'!#REF!,"AAAAAA1tuZY=")</f>
        <v>#REF!</v>
      </c>
      <c r="EV37" t="e">
        <f>AND('Listado General'!#REF!,"AAAAAA1tuZc=")</f>
        <v>#REF!</v>
      </c>
      <c r="EW37" t="e">
        <f>AND('Listado General'!#REF!,"AAAAAA1tuZg=")</f>
        <v>#REF!</v>
      </c>
      <c r="EX37" t="e">
        <f>AND('Listado General'!#REF!,"AAAAAA1tuZk=")</f>
        <v>#REF!</v>
      </c>
      <c r="EY37" t="e">
        <f>AND('Listado General'!#REF!,"AAAAAA1tuZo=")</f>
        <v>#REF!</v>
      </c>
      <c r="EZ37" t="e">
        <f>AND('Listado General'!#REF!,"AAAAAA1tuZs=")</f>
        <v>#REF!</v>
      </c>
      <c r="FA37" t="e">
        <f>AND('Listado General'!#REF!,"AAAAAA1tuZw=")</f>
        <v>#REF!</v>
      </c>
      <c r="FB37" t="e">
        <f>AND('Listado General'!#REF!,"AAAAAA1tuZ0=")</f>
        <v>#REF!</v>
      </c>
      <c r="FC37" t="e">
        <f>AND('Listado General'!#REF!,"AAAAAA1tuZ4=")</f>
        <v>#REF!</v>
      </c>
      <c r="FD37" t="e">
        <f>IF('Listado General'!#REF!,"AAAAAA1tuZ8=",0)</f>
        <v>#REF!</v>
      </c>
      <c r="FE37" t="e">
        <f>AND('Listado General'!#REF!,"AAAAAA1tuaA=")</f>
        <v>#REF!</v>
      </c>
      <c r="FF37" t="e">
        <f>AND('Listado General'!#REF!,"AAAAAA1tuaE=")</f>
        <v>#REF!</v>
      </c>
      <c r="FG37" t="e">
        <f>AND('Listado General'!#REF!,"AAAAAA1tuaI=")</f>
        <v>#REF!</v>
      </c>
      <c r="FH37" t="e">
        <f>AND('Listado General'!#REF!,"AAAAAA1tuaM=")</f>
        <v>#REF!</v>
      </c>
      <c r="FI37" t="e">
        <f>AND('Listado General'!#REF!,"AAAAAA1tuaQ=")</f>
        <v>#REF!</v>
      </c>
      <c r="FJ37" t="e">
        <f>AND('Listado General'!#REF!,"AAAAAA1tuaU=")</f>
        <v>#REF!</v>
      </c>
      <c r="FK37" t="e">
        <f>AND('Listado General'!#REF!,"AAAAAA1tuaY=")</f>
        <v>#REF!</v>
      </c>
      <c r="FL37" t="e">
        <f>AND('Listado General'!#REF!,"AAAAAA1tuac=")</f>
        <v>#REF!</v>
      </c>
      <c r="FM37" t="e">
        <f>AND('Listado General'!#REF!,"AAAAAA1tuag=")</f>
        <v>#REF!</v>
      </c>
      <c r="FN37" t="e">
        <f>IF('Listado General'!#REF!,"AAAAAA1tuak=",0)</f>
        <v>#REF!</v>
      </c>
      <c r="FO37" t="e">
        <f>AND('Listado General'!#REF!,"AAAAAA1tuao=")</f>
        <v>#REF!</v>
      </c>
      <c r="FP37" t="e">
        <f>AND('Listado General'!#REF!,"AAAAAA1tuas=")</f>
        <v>#REF!</v>
      </c>
      <c r="FQ37" t="e">
        <f>AND('Listado General'!#REF!,"AAAAAA1tuaw=")</f>
        <v>#REF!</v>
      </c>
      <c r="FR37" t="e">
        <f>AND('Listado General'!#REF!,"AAAAAA1tua0=")</f>
        <v>#REF!</v>
      </c>
      <c r="FS37" t="e">
        <f>AND('Listado General'!#REF!,"AAAAAA1tua4=")</f>
        <v>#REF!</v>
      </c>
      <c r="FT37" t="e">
        <f>AND('Listado General'!#REF!,"AAAAAA1tua8=")</f>
        <v>#REF!</v>
      </c>
      <c r="FU37" t="e">
        <f>AND('Listado General'!#REF!,"AAAAAA1tubA=")</f>
        <v>#REF!</v>
      </c>
      <c r="FV37" t="e">
        <f>AND('Listado General'!#REF!,"AAAAAA1tubE=")</f>
        <v>#REF!</v>
      </c>
      <c r="FW37" t="e">
        <f>AND('Listado General'!#REF!,"AAAAAA1tubI=")</f>
        <v>#REF!</v>
      </c>
      <c r="FX37" t="e">
        <f>IF('Listado General'!#REF!,"AAAAAA1tubM=",0)</f>
        <v>#REF!</v>
      </c>
      <c r="FY37" t="e">
        <f>AND('Listado General'!#REF!,"AAAAAA1tubQ=")</f>
        <v>#REF!</v>
      </c>
      <c r="FZ37" t="e">
        <f>AND('Listado General'!#REF!,"AAAAAA1tubU=")</f>
        <v>#REF!</v>
      </c>
      <c r="GA37" t="e">
        <f>AND('Listado General'!#REF!,"AAAAAA1tubY=")</f>
        <v>#REF!</v>
      </c>
      <c r="GB37" t="e">
        <f>AND('Listado General'!#REF!,"AAAAAA1tubc=")</f>
        <v>#REF!</v>
      </c>
      <c r="GC37" t="e">
        <f>AND('Listado General'!#REF!,"AAAAAA1tubg=")</f>
        <v>#REF!</v>
      </c>
      <c r="GD37" t="e">
        <f>AND('Listado General'!#REF!,"AAAAAA1tubk=")</f>
        <v>#REF!</v>
      </c>
      <c r="GE37" t="e">
        <f>AND('Listado General'!#REF!,"AAAAAA1tubo=")</f>
        <v>#REF!</v>
      </c>
      <c r="GF37" t="e">
        <f>AND('Listado General'!#REF!,"AAAAAA1tubs=")</f>
        <v>#REF!</v>
      </c>
      <c r="GG37" t="e">
        <f>AND('Listado General'!#REF!,"AAAAAA1tubw=")</f>
        <v>#REF!</v>
      </c>
      <c r="GH37" t="e">
        <f>IF('Listado General'!#REF!,"AAAAAA1tub0=",0)</f>
        <v>#REF!</v>
      </c>
      <c r="GI37" t="e">
        <f>AND('Listado General'!#REF!,"AAAAAA1tub4=")</f>
        <v>#REF!</v>
      </c>
      <c r="GJ37" t="e">
        <f>AND('Listado General'!#REF!,"AAAAAA1tub8=")</f>
        <v>#REF!</v>
      </c>
      <c r="GK37" t="e">
        <f>AND('Listado General'!#REF!,"AAAAAA1tucA=")</f>
        <v>#REF!</v>
      </c>
      <c r="GL37" t="e">
        <f>AND('Listado General'!#REF!,"AAAAAA1tucE=")</f>
        <v>#REF!</v>
      </c>
      <c r="GM37" t="e">
        <f>AND('Listado General'!#REF!,"AAAAAA1tucI=")</f>
        <v>#REF!</v>
      </c>
      <c r="GN37" t="e">
        <f>AND('Listado General'!#REF!,"AAAAAA1tucM=")</f>
        <v>#REF!</v>
      </c>
      <c r="GO37" t="e">
        <f>AND('Listado General'!#REF!,"AAAAAA1tucQ=")</f>
        <v>#REF!</v>
      </c>
      <c r="GP37" t="e">
        <f>AND('Listado General'!#REF!,"AAAAAA1tucU=")</f>
        <v>#REF!</v>
      </c>
      <c r="GQ37" t="e">
        <f>AND('Listado General'!#REF!,"AAAAAA1tucY=")</f>
        <v>#REF!</v>
      </c>
      <c r="GR37" t="e">
        <f>IF('Listado General'!#REF!,"AAAAAA1tucc=",0)</f>
        <v>#REF!</v>
      </c>
      <c r="GS37" t="e">
        <f>AND('Listado General'!#REF!,"AAAAAA1tucg=")</f>
        <v>#REF!</v>
      </c>
      <c r="GT37" t="e">
        <f>AND('Listado General'!#REF!,"AAAAAA1tuck=")</f>
        <v>#REF!</v>
      </c>
      <c r="GU37" t="e">
        <f>AND('Listado General'!#REF!,"AAAAAA1tuco=")</f>
        <v>#REF!</v>
      </c>
      <c r="GV37" t="e">
        <f>AND('Listado General'!#REF!,"AAAAAA1tucs=")</f>
        <v>#REF!</v>
      </c>
      <c r="GW37" t="e">
        <f>AND('Listado General'!#REF!,"AAAAAA1tucw=")</f>
        <v>#REF!</v>
      </c>
      <c r="GX37" t="e">
        <f>AND('Listado General'!#REF!,"AAAAAA1tuc0=")</f>
        <v>#REF!</v>
      </c>
      <c r="GY37" t="e">
        <f>AND('Listado General'!#REF!,"AAAAAA1tuc4=")</f>
        <v>#REF!</v>
      </c>
      <c r="GZ37" t="e">
        <f>AND('Listado General'!#REF!,"AAAAAA1tuc8=")</f>
        <v>#REF!</v>
      </c>
      <c r="HA37" t="e">
        <f>AND('Listado General'!#REF!,"AAAAAA1tudA=")</f>
        <v>#REF!</v>
      </c>
      <c r="HB37" t="e">
        <f>IF('Listado General'!#REF!,"AAAAAA1tudE=",0)</f>
        <v>#REF!</v>
      </c>
      <c r="HC37" t="e">
        <f>AND('Listado General'!#REF!,"AAAAAA1tudI=")</f>
        <v>#REF!</v>
      </c>
      <c r="HD37" t="e">
        <f>AND('Listado General'!#REF!,"AAAAAA1tudM=")</f>
        <v>#REF!</v>
      </c>
      <c r="HE37" t="e">
        <f>AND('Listado General'!#REF!,"AAAAAA1tudQ=")</f>
        <v>#REF!</v>
      </c>
      <c r="HF37" t="e">
        <f>AND('Listado General'!#REF!,"AAAAAA1tudU=")</f>
        <v>#REF!</v>
      </c>
      <c r="HG37" t="e">
        <f>AND('Listado General'!#REF!,"AAAAAA1tudY=")</f>
        <v>#REF!</v>
      </c>
      <c r="HH37" t="e">
        <f>AND('Listado General'!#REF!,"AAAAAA1tudc=")</f>
        <v>#REF!</v>
      </c>
      <c r="HI37" t="e">
        <f>AND('Listado General'!#REF!,"AAAAAA1tudg=")</f>
        <v>#REF!</v>
      </c>
      <c r="HJ37" t="e">
        <f>AND('Listado General'!#REF!,"AAAAAA1tudk=")</f>
        <v>#REF!</v>
      </c>
      <c r="HK37" t="e">
        <f>AND('Listado General'!#REF!,"AAAAAA1tudo=")</f>
        <v>#REF!</v>
      </c>
      <c r="HL37" t="e">
        <f>IF('Listado General'!#REF!,"AAAAAA1tuds=",0)</f>
        <v>#REF!</v>
      </c>
      <c r="HM37" t="e">
        <f>AND('Listado General'!#REF!,"AAAAAA1tudw=")</f>
        <v>#REF!</v>
      </c>
      <c r="HN37" t="e">
        <f>AND('Listado General'!#REF!,"AAAAAA1tud0=")</f>
        <v>#REF!</v>
      </c>
      <c r="HO37" t="e">
        <f>AND('Listado General'!#REF!,"AAAAAA1tud4=")</f>
        <v>#REF!</v>
      </c>
      <c r="HP37" t="e">
        <f>AND('Listado General'!#REF!,"AAAAAA1tud8=")</f>
        <v>#REF!</v>
      </c>
      <c r="HQ37" t="e">
        <f>AND('Listado General'!#REF!,"AAAAAA1tueA=")</f>
        <v>#REF!</v>
      </c>
      <c r="HR37" t="e">
        <f>AND('Listado General'!#REF!,"AAAAAA1tueE=")</f>
        <v>#REF!</v>
      </c>
      <c r="HS37" t="e">
        <f>AND('Listado General'!#REF!,"AAAAAA1tueI=")</f>
        <v>#REF!</v>
      </c>
      <c r="HT37" t="e">
        <f>AND('Listado General'!#REF!,"AAAAAA1tueM=")</f>
        <v>#REF!</v>
      </c>
      <c r="HU37" t="e">
        <f>AND('Listado General'!#REF!,"AAAAAA1tueQ=")</f>
        <v>#REF!</v>
      </c>
      <c r="HV37" t="e">
        <f>IF('Listado General'!#REF!,"AAAAAA1tueU=",0)</f>
        <v>#REF!</v>
      </c>
      <c r="HW37" t="e">
        <f>AND('Listado General'!#REF!,"AAAAAA1tueY=")</f>
        <v>#REF!</v>
      </c>
      <c r="HX37" t="e">
        <f>AND('Listado General'!#REF!,"AAAAAA1tuec=")</f>
        <v>#REF!</v>
      </c>
      <c r="HY37" t="e">
        <f>AND('Listado General'!#REF!,"AAAAAA1tueg=")</f>
        <v>#REF!</v>
      </c>
      <c r="HZ37" t="e">
        <f>AND('Listado General'!#REF!,"AAAAAA1tuek=")</f>
        <v>#REF!</v>
      </c>
      <c r="IA37" t="e">
        <f>AND('Listado General'!#REF!,"AAAAAA1tueo=")</f>
        <v>#REF!</v>
      </c>
      <c r="IB37" t="e">
        <f>AND('Listado General'!#REF!,"AAAAAA1tues=")</f>
        <v>#REF!</v>
      </c>
      <c r="IC37" t="e">
        <f>AND('Listado General'!#REF!,"AAAAAA1tuew=")</f>
        <v>#REF!</v>
      </c>
      <c r="ID37" t="e">
        <f>AND('Listado General'!#REF!,"AAAAAA1tue0=")</f>
        <v>#REF!</v>
      </c>
      <c r="IE37" t="e">
        <f>AND('Listado General'!#REF!,"AAAAAA1tue4=")</f>
        <v>#REF!</v>
      </c>
      <c r="IF37" t="e">
        <f>IF('Listado General'!#REF!,"AAAAAA1tue8=",0)</f>
        <v>#REF!</v>
      </c>
      <c r="IG37" t="e">
        <f>AND('Listado General'!#REF!,"AAAAAA1tufA=")</f>
        <v>#REF!</v>
      </c>
      <c r="IH37" t="e">
        <f>AND('Listado General'!#REF!,"AAAAAA1tufE=")</f>
        <v>#REF!</v>
      </c>
      <c r="II37" t="e">
        <f>AND('Listado General'!#REF!,"AAAAAA1tufI=")</f>
        <v>#REF!</v>
      </c>
      <c r="IJ37" t="e">
        <f>AND('Listado General'!#REF!,"AAAAAA1tufM=")</f>
        <v>#REF!</v>
      </c>
      <c r="IK37" t="e">
        <f>AND('Listado General'!#REF!,"AAAAAA1tufQ=")</f>
        <v>#REF!</v>
      </c>
      <c r="IL37" t="e">
        <f>AND('Listado General'!#REF!,"AAAAAA1tufU=")</f>
        <v>#REF!</v>
      </c>
      <c r="IM37" t="e">
        <f>AND('Listado General'!#REF!,"AAAAAA1tufY=")</f>
        <v>#REF!</v>
      </c>
      <c r="IN37" t="e">
        <f>AND('Listado General'!#REF!,"AAAAAA1tufc=")</f>
        <v>#REF!</v>
      </c>
      <c r="IO37" t="e">
        <f>AND('Listado General'!#REF!,"AAAAAA1tufg=")</f>
        <v>#REF!</v>
      </c>
      <c r="IP37" t="e">
        <f>IF('Listado General'!#REF!,"AAAAAA1tufk=",0)</f>
        <v>#REF!</v>
      </c>
      <c r="IQ37" t="e">
        <f>AND('Listado General'!#REF!,"AAAAAA1tufo=")</f>
        <v>#REF!</v>
      </c>
      <c r="IR37" t="e">
        <f>AND('Listado General'!#REF!,"AAAAAA1tufs=")</f>
        <v>#REF!</v>
      </c>
      <c r="IS37" t="e">
        <f>AND('Listado General'!#REF!,"AAAAAA1tufw=")</f>
        <v>#REF!</v>
      </c>
      <c r="IT37" t="e">
        <f>AND('Listado General'!#REF!,"AAAAAA1tuf0=")</f>
        <v>#REF!</v>
      </c>
      <c r="IU37" t="e">
        <f>AND('Listado General'!#REF!,"AAAAAA1tuf4=")</f>
        <v>#REF!</v>
      </c>
      <c r="IV37" t="e">
        <f>AND('Listado General'!#REF!,"AAAAAA1tuf8=")</f>
        <v>#REF!</v>
      </c>
    </row>
    <row r="38" spans="1:256" ht="12.75">
      <c r="A38" t="e">
        <f>AND('Listado General'!#REF!,"AAAAAFq++wA=")</f>
        <v>#REF!</v>
      </c>
      <c r="B38" t="e">
        <f>AND('Listado General'!#REF!,"AAAAAFq++wE=")</f>
        <v>#REF!</v>
      </c>
      <c r="C38" t="e">
        <f>AND('Listado General'!#REF!,"AAAAAFq++wI=")</f>
        <v>#REF!</v>
      </c>
      <c r="D38" t="e">
        <f>IF('Listado General'!#REF!,"AAAAAFq++wM=",0)</f>
        <v>#REF!</v>
      </c>
      <c r="E38" t="e">
        <f>AND('Listado General'!#REF!,"AAAAAFq++wQ=")</f>
        <v>#REF!</v>
      </c>
      <c r="F38" t="e">
        <f>AND('Listado General'!#REF!,"AAAAAFq++wU=")</f>
        <v>#REF!</v>
      </c>
      <c r="G38" t="e">
        <f>AND('Listado General'!#REF!,"AAAAAFq++wY=")</f>
        <v>#REF!</v>
      </c>
      <c r="H38" t="e">
        <f>AND('Listado General'!#REF!,"AAAAAFq++wc=")</f>
        <v>#REF!</v>
      </c>
      <c r="I38" t="e">
        <f>AND('Listado General'!#REF!,"AAAAAFq++wg=")</f>
        <v>#REF!</v>
      </c>
      <c r="J38" t="e">
        <f>AND('Listado General'!#REF!,"AAAAAFq++wk=")</f>
        <v>#REF!</v>
      </c>
      <c r="K38" t="e">
        <f>AND('Listado General'!#REF!,"AAAAAFq++wo=")</f>
        <v>#REF!</v>
      </c>
      <c r="L38" t="e">
        <f>AND('Listado General'!#REF!,"AAAAAFq++ws=")</f>
        <v>#REF!</v>
      </c>
      <c r="M38" t="e">
        <f>AND('Listado General'!#REF!,"AAAAAFq++ww=")</f>
        <v>#REF!</v>
      </c>
      <c r="N38" t="e">
        <f>IF('Listado General'!#REF!,"AAAAAFq++w0=",0)</f>
        <v>#REF!</v>
      </c>
      <c r="O38" t="e">
        <f>AND('Listado General'!#REF!,"AAAAAFq++w4=")</f>
        <v>#REF!</v>
      </c>
      <c r="P38" t="e">
        <f>AND('Listado General'!#REF!,"AAAAAFq++w8=")</f>
        <v>#REF!</v>
      </c>
      <c r="Q38" t="e">
        <f>AND('Listado General'!#REF!,"AAAAAFq++xA=")</f>
        <v>#REF!</v>
      </c>
      <c r="R38" t="e">
        <f>AND('Listado General'!#REF!,"AAAAAFq++xE=")</f>
        <v>#REF!</v>
      </c>
      <c r="S38" t="e">
        <f>AND('Listado General'!#REF!,"AAAAAFq++xI=")</f>
        <v>#REF!</v>
      </c>
      <c r="T38" t="e">
        <f>AND('Listado General'!#REF!,"AAAAAFq++xM=")</f>
        <v>#REF!</v>
      </c>
      <c r="U38" t="e">
        <f>AND('Listado General'!#REF!,"AAAAAFq++xQ=")</f>
        <v>#REF!</v>
      </c>
      <c r="V38" t="e">
        <f>AND('Listado General'!#REF!,"AAAAAFq++xU=")</f>
        <v>#REF!</v>
      </c>
      <c r="W38" t="e">
        <f>AND('Listado General'!#REF!,"AAAAAFq++xY=")</f>
        <v>#REF!</v>
      </c>
      <c r="X38" t="e">
        <f>IF('Listado General'!#REF!,"AAAAAFq++xc=",0)</f>
        <v>#REF!</v>
      </c>
      <c r="Y38" t="e">
        <f>AND('Listado General'!#REF!,"AAAAAFq++xg=")</f>
        <v>#REF!</v>
      </c>
      <c r="Z38" t="e">
        <f>AND('Listado General'!#REF!,"AAAAAFq++xk=")</f>
        <v>#REF!</v>
      </c>
      <c r="AA38" t="e">
        <f>AND('Listado General'!#REF!,"AAAAAFq++xo=")</f>
        <v>#REF!</v>
      </c>
      <c r="AB38" t="e">
        <f>AND('Listado General'!#REF!,"AAAAAFq++xs=")</f>
        <v>#REF!</v>
      </c>
      <c r="AC38" t="e">
        <f>AND('Listado General'!#REF!,"AAAAAFq++xw=")</f>
        <v>#REF!</v>
      </c>
      <c r="AD38" t="e">
        <f>AND('Listado General'!#REF!,"AAAAAFq++x0=")</f>
        <v>#REF!</v>
      </c>
      <c r="AE38" t="e">
        <f>AND('Listado General'!#REF!,"AAAAAFq++x4=")</f>
        <v>#REF!</v>
      </c>
      <c r="AF38" t="e">
        <f>AND('Listado General'!#REF!,"AAAAAFq++x8=")</f>
        <v>#REF!</v>
      </c>
      <c r="AG38" t="e">
        <f>AND('Listado General'!#REF!,"AAAAAFq++yA=")</f>
        <v>#REF!</v>
      </c>
      <c r="AH38" t="e">
        <f>IF('Listado General'!#REF!,"AAAAAFq++yE=",0)</f>
        <v>#REF!</v>
      </c>
      <c r="AI38" t="e">
        <f>AND('Listado General'!#REF!,"AAAAAFq++yI=")</f>
        <v>#REF!</v>
      </c>
      <c r="AJ38" t="e">
        <f>AND('Listado General'!#REF!,"AAAAAFq++yM=")</f>
        <v>#REF!</v>
      </c>
      <c r="AK38" t="e">
        <f>AND('Listado General'!#REF!,"AAAAAFq++yQ=")</f>
        <v>#REF!</v>
      </c>
      <c r="AL38" t="e">
        <f>AND('Listado General'!#REF!,"AAAAAFq++yU=")</f>
        <v>#REF!</v>
      </c>
      <c r="AM38" t="e">
        <f>AND('Listado General'!#REF!,"AAAAAFq++yY=")</f>
        <v>#REF!</v>
      </c>
      <c r="AN38" t="e">
        <f>AND('Listado General'!#REF!,"AAAAAFq++yc=")</f>
        <v>#REF!</v>
      </c>
      <c r="AO38" t="e">
        <f>AND('Listado General'!#REF!,"AAAAAFq++yg=")</f>
        <v>#REF!</v>
      </c>
      <c r="AP38" t="e">
        <f>AND('Listado General'!#REF!,"AAAAAFq++yk=")</f>
        <v>#REF!</v>
      </c>
      <c r="AQ38" t="e">
        <f>AND('Listado General'!#REF!,"AAAAAFq++yo=")</f>
        <v>#REF!</v>
      </c>
      <c r="AR38" t="e">
        <f>IF('Listado General'!#REF!,"AAAAAFq++ys=",0)</f>
        <v>#REF!</v>
      </c>
      <c r="AS38" t="e">
        <f>AND('Listado General'!#REF!,"AAAAAFq++yw=")</f>
        <v>#REF!</v>
      </c>
      <c r="AT38" t="e">
        <f>AND('Listado General'!#REF!,"AAAAAFq++y0=")</f>
        <v>#REF!</v>
      </c>
      <c r="AU38" t="e">
        <f>AND('Listado General'!#REF!,"AAAAAFq++y4=")</f>
        <v>#REF!</v>
      </c>
      <c r="AV38" t="e">
        <f>AND('Listado General'!#REF!,"AAAAAFq++y8=")</f>
        <v>#REF!</v>
      </c>
      <c r="AW38" t="e">
        <f>AND('Listado General'!#REF!,"AAAAAFq++zA=")</f>
        <v>#REF!</v>
      </c>
      <c r="AX38" t="e">
        <f>AND('Listado General'!#REF!,"AAAAAFq++zE=")</f>
        <v>#REF!</v>
      </c>
      <c r="AY38" t="e">
        <f>AND('Listado General'!#REF!,"AAAAAFq++zI=")</f>
        <v>#REF!</v>
      </c>
      <c r="AZ38" t="e">
        <f>AND('Listado General'!#REF!,"AAAAAFq++zM=")</f>
        <v>#REF!</v>
      </c>
      <c r="BA38" t="e">
        <f>AND('Listado General'!#REF!,"AAAAAFq++zQ=")</f>
        <v>#REF!</v>
      </c>
      <c r="BB38" t="e">
        <f>IF('Listado General'!#REF!,"AAAAAFq++zU=",0)</f>
        <v>#REF!</v>
      </c>
      <c r="BC38" t="e">
        <f>AND('Listado General'!#REF!,"AAAAAFq++zY=")</f>
        <v>#REF!</v>
      </c>
      <c r="BD38" t="e">
        <f>AND('Listado General'!#REF!,"AAAAAFq++zc=")</f>
        <v>#REF!</v>
      </c>
      <c r="BE38" t="e">
        <f>AND('Listado General'!#REF!,"AAAAAFq++zg=")</f>
        <v>#REF!</v>
      </c>
      <c r="BF38" t="e">
        <f>AND('Listado General'!#REF!,"AAAAAFq++zk=")</f>
        <v>#REF!</v>
      </c>
      <c r="BG38" t="e">
        <f>AND('Listado General'!#REF!,"AAAAAFq++zo=")</f>
        <v>#REF!</v>
      </c>
      <c r="BH38" t="e">
        <f>AND('Listado General'!#REF!,"AAAAAFq++zs=")</f>
        <v>#REF!</v>
      </c>
      <c r="BI38" t="e">
        <f>AND('Listado General'!#REF!,"AAAAAFq++zw=")</f>
        <v>#REF!</v>
      </c>
      <c r="BJ38" t="e">
        <f>AND('Listado General'!#REF!,"AAAAAFq++z0=")</f>
        <v>#REF!</v>
      </c>
      <c r="BK38" t="e">
        <f>AND('Listado General'!#REF!,"AAAAAFq++z4=")</f>
        <v>#REF!</v>
      </c>
      <c r="BL38" t="e">
        <f>IF('Listado General'!#REF!,"AAAAAFq++z8=",0)</f>
        <v>#REF!</v>
      </c>
      <c r="BM38" t="e">
        <f>AND('Listado General'!#REF!,"AAAAAFq++0A=")</f>
        <v>#REF!</v>
      </c>
      <c r="BN38" t="e">
        <f>AND('Listado General'!#REF!,"AAAAAFq++0E=")</f>
        <v>#REF!</v>
      </c>
      <c r="BO38" t="e">
        <f>AND('Listado General'!#REF!,"AAAAAFq++0I=")</f>
        <v>#REF!</v>
      </c>
      <c r="BP38" t="e">
        <f>AND('Listado General'!#REF!,"AAAAAFq++0M=")</f>
        <v>#REF!</v>
      </c>
      <c r="BQ38" t="e">
        <f>AND('Listado General'!#REF!,"AAAAAFq++0Q=")</f>
        <v>#REF!</v>
      </c>
      <c r="BR38" t="e">
        <f>AND('Listado General'!#REF!,"AAAAAFq++0U=")</f>
        <v>#REF!</v>
      </c>
      <c r="BS38" t="e">
        <f>AND('Listado General'!#REF!,"AAAAAFq++0Y=")</f>
        <v>#REF!</v>
      </c>
      <c r="BT38" t="e">
        <f>AND('Listado General'!#REF!,"AAAAAFq++0c=")</f>
        <v>#REF!</v>
      </c>
      <c r="BU38" t="e">
        <f>AND('Listado General'!#REF!,"AAAAAFq++0g=")</f>
        <v>#REF!</v>
      </c>
      <c r="BV38" t="e">
        <f>IF('Listado General'!#REF!,"AAAAAFq++0k=",0)</f>
        <v>#REF!</v>
      </c>
      <c r="BW38" t="e">
        <f>AND('Listado General'!#REF!,"AAAAAFq++0o=")</f>
        <v>#REF!</v>
      </c>
      <c r="BX38" t="e">
        <f>AND('Listado General'!#REF!,"AAAAAFq++0s=")</f>
        <v>#REF!</v>
      </c>
      <c r="BY38" t="e">
        <f>AND('Listado General'!#REF!,"AAAAAFq++0w=")</f>
        <v>#REF!</v>
      </c>
      <c r="BZ38" t="e">
        <f>AND('Listado General'!#REF!,"AAAAAFq++00=")</f>
        <v>#REF!</v>
      </c>
      <c r="CA38" t="e">
        <f>AND('Listado General'!#REF!,"AAAAAFq++04=")</f>
        <v>#REF!</v>
      </c>
      <c r="CB38" t="e">
        <f>AND('Listado General'!#REF!,"AAAAAFq++08=")</f>
        <v>#REF!</v>
      </c>
      <c r="CC38" t="e">
        <f>AND('Listado General'!#REF!,"AAAAAFq++1A=")</f>
        <v>#REF!</v>
      </c>
      <c r="CD38" t="e">
        <f>AND('Listado General'!#REF!,"AAAAAFq++1E=")</f>
        <v>#REF!</v>
      </c>
      <c r="CE38" t="e">
        <f>AND('Listado General'!#REF!,"AAAAAFq++1I=")</f>
        <v>#REF!</v>
      </c>
      <c r="CF38" t="e">
        <f>IF('Listado General'!#REF!,"AAAAAFq++1M=",0)</f>
        <v>#REF!</v>
      </c>
      <c r="CG38" t="e">
        <f>AND('Listado General'!#REF!,"AAAAAFq++1Q=")</f>
        <v>#REF!</v>
      </c>
      <c r="CH38" t="e">
        <f>AND('Listado General'!#REF!,"AAAAAFq++1U=")</f>
        <v>#REF!</v>
      </c>
      <c r="CI38" t="e">
        <f>AND('Listado General'!#REF!,"AAAAAFq++1Y=")</f>
        <v>#REF!</v>
      </c>
      <c r="CJ38" t="e">
        <f>AND('Listado General'!#REF!,"AAAAAFq++1c=")</f>
        <v>#REF!</v>
      </c>
      <c r="CK38" t="e">
        <f>AND('Listado General'!#REF!,"AAAAAFq++1g=")</f>
        <v>#REF!</v>
      </c>
      <c r="CL38" t="e">
        <f>AND('Listado General'!#REF!,"AAAAAFq++1k=")</f>
        <v>#REF!</v>
      </c>
      <c r="CM38" t="e">
        <f>AND('Listado General'!#REF!,"AAAAAFq++1o=")</f>
        <v>#REF!</v>
      </c>
      <c r="CN38" t="e">
        <f>AND('Listado General'!#REF!,"AAAAAFq++1s=")</f>
        <v>#REF!</v>
      </c>
      <c r="CO38" t="e">
        <f>AND('Listado General'!#REF!,"AAAAAFq++1w=")</f>
        <v>#REF!</v>
      </c>
      <c r="CP38" t="e">
        <f>IF('Listado General'!#REF!,"AAAAAFq++10=",0)</f>
        <v>#REF!</v>
      </c>
      <c r="CQ38" t="e">
        <f>AND('Listado General'!#REF!,"AAAAAFq++14=")</f>
        <v>#REF!</v>
      </c>
      <c r="CR38" t="e">
        <f>AND('Listado General'!#REF!,"AAAAAFq++18=")</f>
        <v>#REF!</v>
      </c>
      <c r="CS38" t="e">
        <f>AND('Listado General'!#REF!,"AAAAAFq++2A=")</f>
        <v>#REF!</v>
      </c>
      <c r="CT38" t="e">
        <f>AND('Listado General'!#REF!,"AAAAAFq++2E=")</f>
        <v>#REF!</v>
      </c>
      <c r="CU38" t="e">
        <f>AND('Listado General'!#REF!,"AAAAAFq++2I=")</f>
        <v>#REF!</v>
      </c>
      <c r="CV38" t="e">
        <f>AND('Listado General'!#REF!,"AAAAAFq++2M=")</f>
        <v>#REF!</v>
      </c>
      <c r="CW38" t="e">
        <f>AND('Listado General'!#REF!,"AAAAAFq++2Q=")</f>
        <v>#REF!</v>
      </c>
      <c r="CX38" t="e">
        <f>AND('Listado General'!#REF!,"AAAAAFq++2U=")</f>
        <v>#REF!</v>
      </c>
      <c r="CY38" t="e">
        <f>AND('Listado General'!#REF!,"AAAAAFq++2Y=")</f>
        <v>#REF!</v>
      </c>
      <c r="CZ38" t="e">
        <f>IF('Listado General'!#REF!,"AAAAAFq++2c=",0)</f>
        <v>#REF!</v>
      </c>
      <c r="DA38" t="e">
        <f>AND('Listado General'!#REF!,"AAAAAFq++2g=")</f>
        <v>#REF!</v>
      </c>
      <c r="DB38" t="e">
        <f>AND('Listado General'!#REF!,"AAAAAFq++2k=")</f>
        <v>#REF!</v>
      </c>
      <c r="DC38" t="e">
        <f>AND('Listado General'!#REF!,"AAAAAFq++2o=")</f>
        <v>#REF!</v>
      </c>
      <c r="DD38" t="e">
        <f>AND('Listado General'!#REF!,"AAAAAFq++2s=")</f>
        <v>#REF!</v>
      </c>
      <c r="DE38" t="e">
        <f>AND('Listado General'!#REF!,"AAAAAFq++2w=")</f>
        <v>#REF!</v>
      </c>
      <c r="DF38" t="e">
        <f>AND('Listado General'!#REF!,"AAAAAFq++20=")</f>
        <v>#REF!</v>
      </c>
      <c r="DG38" t="e">
        <f>AND('Listado General'!#REF!,"AAAAAFq++24=")</f>
        <v>#REF!</v>
      </c>
      <c r="DH38" t="e">
        <f>AND('Listado General'!#REF!,"AAAAAFq++28=")</f>
        <v>#REF!</v>
      </c>
      <c r="DI38" t="e">
        <f>AND('Listado General'!#REF!,"AAAAAFq++3A=")</f>
        <v>#REF!</v>
      </c>
      <c r="DJ38" t="e">
        <f>IF('Listado General'!#REF!,"AAAAAFq++3E=",0)</f>
        <v>#REF!</v>
      </c>
      <c r="DK38" t="e">
        <f>AND('Listado General'!#REF!,"AAAAAFq++3I=")</f>
        <v>#REF!</v>
      </c>
      <c r="DL38" t="e">
        <f>AND('Listado General'!#REF!,"AAAAAFq++3M=")</f>
        <v>#REF!</v>
      </c>
      <c r="DM38" t="e">
        <f>AND('Listado General'!#REF!,"AAAAAFq++3Q=")</f>
        <v>#REF!</v>
      </c>
      <c r="DN38" t="e">
        <f>AND('Listado General'!#REF!,"AAAAAFq++3U=")</f>
        <v>#REF!</v>
      </c>
      <c r="DO38" t="e">
        <f>AND('Listado General'!#REF!,"AAAAAFq++3Y=")</f>
        <v>#REF!</v>
      </c>
      <c r="DP38" t="e">
        <f>AND('Listado General'!#REF!,"AAAAAFq++3c=")</f>
        <v>#REF!</v>
      </c>
      <c r="DQ38" t="e">
        <f>AND('Listado General'!#REF!,"AAAAAFq++3g=")</f>
        <v>#REF!</v>
      </c>
      <c r="DR38" t="e">
        <f>AND('Listado General'!#REF!,"AAAAAFq++3k=")</f>
        <v>#REF!</v>
      </c>
      <c r="DS38" t="e">
        <f>AND('Listado General'!#REF!,"AAAAAFq++3o=")</f>
        <v>#REF!</v>
      </c>
      <c r="DT38" t="e">
        <f>IF('Listado General'!#REF!,"AAAAAFq++3s=",0)</f>
        <v>#REF!</v>
      </c>
      <c r="DU38" t="e">
        <f>AND('Listado General'!#REF!,"AAAAAFq++3w=")</f>
        <v>#REF!</v>
      </c>
      <c r="DV38" t="e">
        <f>AND('Listado General'!#REF!,"AAAAAFq++30=")</f>
        <v>#REF!</v>
      </c>
      <c r="DW38" t="e">
        <f>AND('Listado General'!#REF!,"AAAAAFq++34=")</f>
        <v>#REF!</v>
      </c>
      <c r="DX38" t="e">
        <f>AND('Listado General'!#REF!,"AAAAAFq++38=")</f>
        <v>#REF!</v>
      </c>
      <c r="DY38" t="e">
        <f>AND('Listado General'!#REF!,"AAAAAFq++4A=")</f>
        <v>#REF!</v>
      </c>
      <c r="DZ38" t="e">
        <f>AND('Listado General'!#REF!,"AAAAAFq++4E=")</f>
        <v>#REF!</v>
      </c>
      <c r="EA38" t="e">
        <f>AND('Listado General'!#REF!,"AAAAAFq++4I=")</f>
        <v>#REF!</v>
      </c>
      <c r="EB38" t="e">
        <f>AND('Listado General'!#REF!,"AAAAAFq++4M=")</f>
        <v>#REF!</v>
      </c>
      <c r="EC38" t="e">
        <f>AND('Listado General'!#REF!,"AAAAAFq++4Q=")</f>
        <v>#REF!</v>
      </c>
      <c r="ED38" t="e">
        <f>IF('Listado General'!#REF!,"AAAAAFq++4U=",0)</f>
        <v>#REF!</v>
      </c>
      <c r="EE38" t="e">
        <f>AND('Listado General'!#REF!,"AAAAAFq++4Y=")</f>
        <v>#REF!</v>
      </c>
      <c r="EF38" t="e">
        <f>AND('Listado General'!#REF!,"AAAAAFq++4c=")</f>
        <v>#REF!</v>
      </c>
      <c r="EG38" t="e">
        <f>AND('Listado General'!#REF!,"AAAAAFq++4g=")</f>
        <v>#REF!</v>
      </c>
      <c r="EH38" t="e">
        <f>AND('Listado General'!#REF!,"AAAAAFq++4k=")</f>
        <v>#REF!</v>
      </c>
      <c r="EI38" t="e">
        <f>AND('Listado General'!#REF!,"AAAAAFq++4o=")</f>
        <v>#REF!</v>
      </c>
      <c r="EJ38" t="e">
        <f>AND('Listado General'!#REF!,"AAAAAFq++4s=")</f>
        <v>#REF!</v>
      </c>
      <c r="EK38" t="e">
        <f>AND('Listado General'!#REF!,"AAAAAFq++4w=")</f>
        <v>#REF!</v>
      </c>
      <c r="EL38" t="e">
        <f>AND('Listado General'!#REF!,"AAAAAFq++40=")</f>
        <v>#REF!</v>
      </c>
      <c r="EM38" t="e">
        <f>AND('Listado General'!#REF!,"AAAAAFq++44=")</f>
        <v>#REF!</v>
      </c>
      <c r="EN38" t="e">
        <f>IF('Listado General'!#REF!,"AAAAAFq++48=",0)</f>
        <v>#REF!</v>
      </c>
      <c r="EO38" t="e">
        <f>AND('Listado General'!#REF!,"AAAAAFq++5A=")</f>
        <v>#REF!</v>
      </c>
      <c r="EP38" t="e">
        <f>AND('Listado General'!#REF!,"AAAAAFq++5E=")</f>
        <v>#REF!</v>
      </c>
      <c r="EQ38" t="e">
        <f>AND('Listado General'!#REF!,"AAAAAFq++5I=")</f>
        <v>#REF!</v>
      </c>
      <c r="ER38" t="e">
        <f>AND('Listado General'!#REF!,"AAAAAFq++5M=")</f>
        <v>#REF!</v>
      </c>
      <c r="ES38" t="e">
        <f>AND('Listado General'!#REF!,"AAAAAFq++5Q=")</f>
        <v>#REF!</v>
      </c>
      <c r="ET38" t="e">
        <f>AND('Listado General'!#REF!,"AAAAAFq++5U=")</f>
        <v>#REF!</v>
      </c>
      <c r="EU38" t="e">
        <f>AND('Listado General'!#REF!,"AAAAAFq++5Y=")</f>
        <v>#REF!</v>
      </c>
      <c r="EV38" t="e">
        <f>AND('Listado General'!#REF!,"AAAAAFq++5c=")</f>
        <v>#REF!</v>
      </c>
      <c r="EW38" t="e">
        <f>AND('Listado General'!#REF!,"AAAAAFq++5g=")</f>
        <v>#REF!</v>
      </c>
      <c r="EX38" t="e">
        <f>IF('Listado General'!#REF!,"AAAAAFq++5k=",0)</f>
        <v>#REF!</v>
      </c>
      <c r="EY38" t="e">
        <f>AND('Listado General'!#REF!,"AAAAAFq++5o=")</f>
        <v>#REF!</v>
      </c>
      <c r="EZ38" t="e">
        <f>AND('Listado General'!#REF!,"AAAAAFq++5s=")</f>
        <v>#REF!</v>
      </c>
      <c r="FA38" t="e">
        <f>AND('Listado General'!#REF!,"AAAAAFq++5w=")</f>
        <v>#REF!</v>
      </c>
      <c r="FB38" t="e">
        <f>AND('Listado General'!#REF!,"AAAAAFq++50=")</f>
        <v>#REF!</v>
      </c>
      <c r="FC38" t="e">
        <f>AND('Listado General'!#REF!,"AAAAAFq++54=")</f>
        <v>#REF!</v>
      </c>
      <c r="FD38" t="e">
        <f>AND('Listado General'!#REF!,"AAAAAFq++58=")</f>
        <v>#REF!</v>
      </c>
      <c r="FE38" t="e">
        <f>AND('Listado General'!#REF!,"AAAAAFq++6A=")</f>
        <v>#REF!</v>
      </c>
      <c r="FF38" t="e">
        <f>AND('Listado General'!#REF!,"AAAAAFq++6E=")</f>
        <v>#REF!</v>
      </c>
      <c r="FG38" t="e">
        <f>AND('Listado General'!#REF!,"AAAAAFq++6I=")</f>
        <v>#REF!</v>
      </c>
      <c r="FH38" t="e">
        <f>IF('Listado General'!#REF!,"AAAAAFq++6M=",0)</f>
        <v>#REF!</v>
      </c>
      <c r="FI38" t="e">
        <f>AND('Listado General'!#REF!,"AAAAAFq++6Q=")</f>
        <v>#REF!</v>
      </c>
      <c r="FJ38" t="e">
        <f>AND('Listado General'!#REF!,"AAAAAFq++6U=")</f>
        <v>#REF!</v>
      </c>
      <c r="FK38" t="e">
        <f>AND('Listado General'!#REF!,"AAAAAFq++6Y=")</f>
        <v>#REF!</v>
      </c>
      <c r="FL38" t="e">
        <f>AND('Listado General'!#REF!,"AAAAAFq++6c=")</f>
        <v>#REF!</v>
      </c>
      <c r="FM38" t="e">
        <f>AND('Listado General'!#REF!,"AAAAAFq++6g=")</f>
        <v>#REF!</v>
      </c>
      <c r="FN38" t="e">
        <f>AND('Listado General'!#REF!,"AAAAAFq++6k=")</f>
        <v>#REF!</v>
      </c>
      <c r="FO38" t="e">
        <f>AND('Listado General'!#REF!,"AAAAAFq++6o=")</f>
        <v>#REF!</v>
      </c>
      <c r="FP38" t="e">
        <f>AND('Listado General'!#REF!,"AAAAAFq++6s=")</f>
        <v>#REF!</v>
      </c>
      <c r="FQ38" t="e">
        <f>AND('Listado General'!#REF!,"AAAAAFq++6w=")</f>
        <v>#REF!</v>
      </c>
      <c r="FR38" t="e">
        <f>IF('Listado General'!#REF!,"AAAAAFq++60=",0)</f>
        <v>#REF!</v>
      </c>
      <c r="FS38" t="e">
        <f>AND('Listado General'!#REF!,"AAAAAFq++64=")</f>
        <v>#REF!</v>
      </c>
      <c r="FT38" t="e">
        <f>AND('Listado General'!#REF!,"AAAAAFq++68=")</f>
        <v>#REF!</v>
      </c>
      <c r="FU38" t="e">
        <f>AND('Listado General'!#REF!,"AAAAAFq++7A=")</f>
        <v>#REF!</v>
      </c>
      <c r="FV38" t="e">
        <f>AND('Listado General'!#REF!,"AAAAAFq++7E=")</f>
        <v>#REF!</v>
      </c>
      <c r="FW38" t="e">
        <f>AND('Listado General'!#REF!,"AAAAAFq++7I=")</f>
        <v>#REF!</v>
      </c>
      <c r="FX38" t="e">
        <f>AND('Listado General'!#REF!,"AAAAAFq++7M=")</f>
        <v>#REF!</v>
      </c>
      <c r="FY38" t="e">
        <f>AND('Listado General'!#REF!,"AAAAAFq++7Q=")</f>
        <v>#REF!</v>
      </c>
      <c r="FZ38" t="e">
        <f>AND('Listado General'!#REF!,"AAAAAFq++7U=")</f>
        <v>#REF!</v>
      </c>
      <c r="GA38" t="e">
        <f>AND('Listado General'!#REF!,"AAAAAFq++7Y=")</f>
        <v>#REF!</v>
      </c>
      <c r="GB38" t="e">
        <f>IF('Listado General'!#REF!,"AAAAAFq++7c=",0)</f>
        <v>#REF!</v>
      </c>
      <c r="GC38" t="e">
        <f>AND('Listado General'!#REF!,"AAAAAFq++7g=")</f>
        <v>#REF!</v>
      </c>
      <c r="GD38" t="e">
        <f>AND('Listado General'!#REF!,"AAAAAFq++7k=")</f>
        <v>#REF!</v>
      </c>
      <c r="GE38" t="e">
        <f>AND('Listado General'!#REF!,"AAAAAFq++7o=")</f>
        <v>#REF!</v>
      </c>
      <c r="GF38" t="e">
        <f>AND('Listado General'!#REF!,"AAAAAFq++7s=")</f>
        <v>#REF!</v>
      </c>
      <c r="GG38" t="e">
        <f>AND('Listado General'!#REF!,"AAAAAFq++7w=")</f>
        <v>#REF!</v>
      </c>
      <c r="GH38" t="e">
        <f>AND('Listado General'!#REF!,"AAAAAFq++70=")</f>
        <v>#REF!</v>
      </c>
      <c r="GI38" t="e">
        <f>AND('Listado General'!#REF!,"AAAAAFq++74=")</f>
        <v>#REF!</v>
      </c>
      <c r="GJ38" t="e">
        <f>AND('Listado General'!#REF!,"AAAAAFq++78=")</f>
        <v>#REF!</v>
      </c>
      <c r="GK38" t="e">
        <f>AND('Listado General'!#REF!,"AAAAAFq++8A=")</f>
        <v>#REF!</v>
      </c>
      <c r="GL38" t="e">
        <f>IF('Listado General'!#REF!,"AAAAAFq++8E=",0)</f>
        <v>#REF!</v>
      </c>
      <c r="GM38" t="e">
        <f>AND('Listado General'!#REF!,"AAAAAFq++8I=")</f>
        <v>#REF!</v>
      </c>
      <c r="GN38" t="e">
        <f>AND('Listado General'!#REF!,"AAAAAFq++8M=")</f>
        <v>#REF!</v>
      </c>
      <c r="GO38" t="e">
        <f>AND('Listado General'!#REF!,"AAAAAFq++8Q=")</f>
        <v>#REF!</v>
      </c>
      <c r="GP38" t="e">
        <f>AND('Listado General'!#REF!,"AAAAAFq++8U=")</f>
        <v>#REF!</v>
      </c>
      <c r="GQ38" t="e">
        <f>AND('Listado General'!#REF!,"AAAAAFq++8Y=")</f>
        <v>#REF!</v>
      </c>
      <c r="GR38" t="e">
        <f>AND('Listado General'!#REF!,"AAAAAFq++8c=")</f>
        <v>#REF!</v>
      </c>
      <c r="GS38" t="e">
        <f>AND('Listado General'!#REF!,"AAAAAFq++8g=")</f>
        <v>#REF!</v>
      </c>
      <c r="GT38" t="e">
        <f>AND('Listado General'!#REF!,"AAAAAFq++8k=")</f>
        <v>#REF!</v>
      </c>
      <c r="GU38" t="e">
        <f>AND('Listado General'!#REF!,"AAAAAFq++8o=")</f>
        <v>#REF!</v>
      </c>
      <c r="GV38" t="e">
        <f>IF('Listado General'!#REF!,"AAAAAFq++8s=",0)</f>
        <v>#REF!</v>
      </c>
      <c r="GW38" t="e">
        <f>AND('Listado General'!#REF!,"AAAAAFq++8w=")</f>
        <v>#REF!</v>
      </c>
      <c r="GX38" t="e">
        <f>AND('Listado General'!#REF!,"AAAAAFq++80=")</f>
        <v>#REF!</v>
      </c>
      <c r="GY38" t="e">
        <f>AND('Listado General'!#REF!,"AAAAAFq++84=")</f>
        <v>#REF!</v>
      </c>
      <c r="GZ38" t="e">
        <f>AND('Listado General'!#REF!,"AAAAAFq++88=")</f>
        <v>#REF!</v>
      </c>
      <c r="HA38" t="e">
        <f>AND('Listado General'!#REF!,"AAAAAFq++9A=")</f>
        <v>#REF!</v>
      </c>
      <c r="HB38" t="e">
        <f>AND('Listado General'!#REF!,"AAAAAFq++9E=")</f>
        <v>#REF!</v>
      </c>
      <c r="HC38" t="e">
        <f>AND('Listado General'!#REF!,"AAAAAFq++9I=")</f>
        <v>#REF!</v>
      </c>
      <c r="HD38" t="e">
        <f>AND('Listado General'!#REF!,"AAAAAFq++9M=")</f>
        <v>#REF!</v>
      </c>
      <c r="HE38" t="e">
        <f>AND('Listado General'!#REF!,"AAAAAFq++9Q=")</f>
        <v>#REF!</v>
      </c>
      <c r="HF38" t="e">
        <f>IF('Listado General'!#REF!,"AAAAAFq++9U=",0)</f>
        <v>#REF!</v>
      </c>
      <c r="HG38" t="e">
        <f>AND('Listado General'!#REF!,"AAAAAFq++9Y=")</f>
        <v>#REF!</v>
      </c>
      <c r="HH38" t="e">
        <f>AND('Listado General'!#REF!,"AAAAAFq++9c=")</f>
        <v>#REF!</v>
      </c>
      <c r="HI38" t="e">
        <f>AND('Listado General'!#REF!,"AAAAAFq++9g=")</f>
        <v>#REF!</v>
      </c>
      <c r="HJ38" t="e">
        <f>AND('Listado General'!#REF!,"AAAAAFq++9k=")</f>
        <v>#REF!</v>
      </c>
      <c r="HK38" t="e">
        <f>AND('Listado General'!#REF!,"AAAAAFq++9o=")</f>
        <v>#REF!</v>
      </c>
      <c r="HL38" t="e">
        <f>AND('Listado General'!#REF!,"AAAAAFq++9s=")</f>
        <v>#REF!</v>
      </c>
      <c r="HM38" t="e">
        <f>AND('Listado General'!#REF!,"AAAAAFq++9w=")</f>
        <v>#REF!</v>
      </c>
      <c r="HN38" t="e">
        <f>AND('Listado General'!#REF!,"AAAAAFq++90=")</f>
        <v>#REF!</v>
      </c>
      <c r="HO38" t="e">
        <f>AND('Listado General'!#REF!,"AAAAAFq++94=")</f>
        <v>#REF!</v>
      </c>
      <c r="HP38" t="e">
        <f>IF('Listado General'!#REF!,"AAAAAFq++98=",0)</f>
        <v>#REF!</v>
      </c>
      <c r="HQ38" t="e">
        <f>AND('Listado General'!#REF!,"AAAAAFq+++A=")</f>
        <v>#REF!</v>
      </c>
      <c r="HR38" t="e">
        <f>AND('Listado General'!#REF!,"AAAAAFq+++E=")</f>
        <v>#REF!</v>
      </c>
      <c r="HS38" t="e">
        <f>AND('Listado General'!#REF!,"AAAAAFq+++I=")</f>
        <v>#REF!</v>
      </c>
      <c r="HT38" t="e">
        <f>AND('Listado General'!#REF!,"AAAAAFq+++M=")</f>
        <v>#REF!</v>
      </c>
      <c r="HU38" t="e">
        <f>AND('Listado General'!#REF!,"AAAAAFq+++Q=")</f>
        <v>#REF!</v>
      </c>
      <c r="HV38" t="e">
        <f>AND('Listado General'!#REF!,"AAAAAFq+++U=")</f>
        <v>#REF!</v>
      </c>
      <c r="HW38" t="e">
        <f>AND('Listado General'!#REF!,"AAAAAFq+++Y=")</f>
        <v>#REF!</v>
      </c>
      <c r="HX38" t="e">
        <f>AND('Listado General'!#REF!,"AAAAAFq+++c=")</f>
        <v>#REF!</v>
      </c>
      <c r="HY38" t="e">
        <f>AND('Listado General'!#REF!,"AAAAAFq+++g=")</f>
        <v>#REF!</v>
      </c>
      <c r="HZ38" t="e">
        <f>IF('Listado General'!#REF!,"AAAAAFq+++k=",0)</f>
        <v>#REF!</v>
      </c>
      <c r="IA38" t="e">
        <f>AND('Listado General'!#REF!,"AAAAAFq+++o=")</f>
        <v>#REF!</v>
      </c>
      <c r="IB38" t="e">
        <f>AND('Listado General'!#REF!,"AAAAAFq+++s=")</f>
        <v>#REF!</v>
      </c>
      <c r="IC38" t="e">
        <f>AND('Listado General'!#REF!,"AAAAAFq+++w=")</f>
        <v>#REF!</v>
      </c>
      <c r="ID38" t="e">
        <f>AND('Listado General'!#REF!,"AAAAAFq+++0=")</f>
        <v>#REF!</v>
      </c>
      <c r="IE38" t="e">
        <f>AND('Listado General'!#REF!,"AAAAAFq+++4=")</f>
        <v>#REF!</v>
      </c>
      <c r="IF38" t="e">
        <f>AND('Listado General'!#REF!,"AAAAAFq+++8=")</f>
        <v>#REF!</v>
      </c>
      <c r="IG38" t="e">
        <f>AND('Listado General'!#REF!,"AAAAAFq++/A=")</f>
        <v>#REF!</v>
      </c>
      <c r="IH38" t="e">
        <f>AND('Listado General'!#REF!,"AAAAAFq++/E=")</f>
        <v>#REF!</v>
      </c>
      <c r="II38" t="e">
        <f>AND('Listado General'!#REF!,"AAAAAFq++/I=")</f>
        <v>#REF!</v>
      </c>
      <c r="IJ38" t="e">
        <f>IF('Listado General'!#REF!,"AAAAAFq++/M=",0)</f>
        <v>#REF!</v>
      </c>
      <c r="IK38" t="e">
        <f>AND('Listado General'!#REF!,"AAAAAFq++/Q=")</f>
        <v>#REF!</v>
      </c>
      <c r="IL38" t="e">
        <f>AND('Listado General'!#REF!,"AAAAAFq++/U=")</f>
        <v>#REF!</v>
      </c>
      <c r="IM38" t="e">
        <f>AND('Listado General'!#REF!,"AAAAAFq++/Y=")</f>
        <v>#REF!</v>
      </c>
      <c r="IN38" t="e">
        <f>AND('Listado General'!#REF!,"AAAAAFq++/c=")</f>
        <v>#REF!</v>
      </c>
      <c r="IO38" t="e">
        <f>AND('Listado General'!#REF!,"AAAAAFq++/g=")</f>
        <v>#REF!</v>
      </c>
      <c r="IP38" t="e">
        <f>AND('Listado General'!#REF!,"AAAAAFq++/k=")</f>
        <v>#REF!</v>
      </c>
      <c r="IQ38" t="e">
        <f>AND('Listado General'!#REF!,"AAAAAFq++/o=")</f>
        <v>#REF!</v>
      </c>
      <c r="IR38" t="e">
        <f>AND('Listado General'!#REF!,"AAAAAFq++/s=")</f>
        <v>#REF!</v>
      </c>
      <c r="IS38" t="e">
        <f>AND('Listado General'!#REF!,"AAAAAFq++/w=")</f>
        <v>#REF!</v>
      </c>
      <c r="IT38" t="e">
        <f>IF('Listado General'!#REF!,"AAAAAFq++/0=",0)</f>
        <v>#REF!</v>
      </c>
      <c r="IU38" t="e">
        <f>AND('Listado General'!#REF!,"AAAAAFq++/4=")</f>
        <v>#REF!</v>
      </c>
      <c r="IV38" t="e">
        <f>AND('Listado General'!#REF!,"AAAAAFq++/8=")</f>
        <v>#REF!</v>
      </c>
    </row>
    <row r="39" spans="1:256" ht="12.75">
      <c r="A39" t="e">
        <f>AND('Listado General'!#REF!,"AAAAAE9WvwA=")</f>
        <v>#REF!</v>
      </c>
      <c r="B39" t="e">
        <f>AND('Listado General'!#REF!,"AAAAAE9WvwE=")</f>
        <v>#REF!</v>
      </c>
      <c r="C39" t="e">
        <f>AND('Listado General'!#REF!,"AAAAAE9WvwI=")</f>
        <v>#REF!</v>
      </c>
      <c r="D39" t="e">
        <f>AND('Listado General'!#REF!,"AAAAAE9WvwM=")</f>
        <v>#REF!</v>
      </c>
      <c r="E39" t="e">
        <f>AND('Listado General'!#REF!,"AAAAAE9WvwQ=")</f>
        <v>#REF!</v>
      </c>
      <c r="F39" t="e">
        <f>AND('Listado General'!#REF!,"AAAAAE9WvwU=")</f>
        <v>#REF!</v>
      </c>
      <c r="G39" t="e">
        <f>AND('Listado General'!#REF!,"AAAAAE9WvwY=")</f>
        <v>#REF!</v>
      </c>
      <c r="H39" t="e">
        <f>IF('Listado General'!#REF!,"AAAAAE9Wvwc=",0)</f>
        <v>#REF!</v>
      </c>
      <c r="I39" t="e">
        <f>AND('Listado General'!#REF!,"AAAAAE9Wvwg=")</f>
        <v>#REF!</v>
      </c>
      <c r="J39" t="e">
        <f>AND('Listado General'!#REF!,"AAAAAE9Wvwk=")</f>
        <v>#REF!</v>
      </c>
      <c r="K39" t="e">
        <f>AND('Listado General'!#REF!,"AAAAAE9Wvwo=")</f>
        <v>#REF!</v>
      </c>
      <c r="L39" t="e">
        <f>AND('Listado General'!#REF!,"AAAAAE9Wvws=")</f>
        <v>#REF!</v>
      </c>
      <c r="M39" t="e">
        <f>AND('Listado General'!#REF!,"AAAAAE9Wvww=")</f>
        <v>#REF!</v>
      </c>
      <c r="N39" t="e">
        <f>AND('Listado General'!#REF!,"AAAAAE9Wvw0=")</f>
        <v>#REF!</v>
      </c>
      <c r="O39" t="e">
        <f>AND('Listado General'!#REF!,"AAAAAE9Wvw4=")</f>
        <v>#REF!</v>
      </c>
      <c r="P39" t="e">
        <f>AND('Listado General'!#REF!,"AAAAAE9Wvw8=")</f>
        <v>#REF!</v>
      </c>
      <c r="Q39" t="e">
        <f>AND('Listado General'!#REF!,"AAAAAE9WvxA=")</f>
        <v>#REF!</v>
      </c>
      <c r="R39" t="e">
        <f>IF('Listado General'!#REF!,"AAAAAE9WvxE=",0)</f>
        <v>#REF!</v>
      </c>
      <c r="S39" t="e">
        <f>AND('Listado General'!#REF!,"AAAAAE9WvxI=")</f>
        <v>#REF!</v>
      </c>
      <c r="T39" t="e">
        <f>AND('Listado General'!#REF!,"AAAAAE9WvxM=")</f>
        <v>#REF!</v>
      </c>
      <c r="U39" t="e">
        <f>AND('Listado General'!#REF!,"AAAAAE9WvxQ=")</f>
        <v>#REF!</v>
      </c>
      <c r="V39" t="e">
        <f>AND('Listado General'!#REF!,"AAAAAE9WvxU=")</f>
        <v>#REF!</v>
      </c>
      <c r="W39" t="e">
        <f>AND('Listado General'!#REF!,"AAAAAE9WvxY=")</f>
        <v>#REF!</v>
      </c>
      <c r="X39" t="e">
        <f>AND('Listado General'!#REF!,"AAAAAE9Wvxc=")</f>
        <v>#REF!</v>
      </c>
      <c r="Y39" t="e">
        <f>AND('Listado General'!#REF!,"AAAAAE9Wvxg=")</f>
        <v>#REF!</v>
      </c>
      <c r="Z39" t="e">
        <f>AND('Listado General'!#REF!,"AAAAAE9Wvxk=")</f>
        <v>#REF!</v>
      </c>
      <c r="AA39" t="e">
        <f>AND('Listado General'!#REF!,"AAAAAE9Wvxo=")</f>
        <v>#REF!</v>
      </c>
      <c r="AB39" t="e">
        <f>IF('Listado General'!#REF!,"AAAAAE9Wvxs=",0)</f>
        <v>#REF!</v>
      </c>
      <c r="AC39" t="e">
        <f>AND('Listado General'!#REF!,"AAAAAE9Wvxw=")</f>
        <v>#REF!</v>
      </c>
      <c r="AD39" t="e">
        <f>AND('Listado General'!#REF!,"AAAAAE9Wvx0=")</f>
        <v>#REF!</v>
      </c>
      <c r="AE39" t="e">
        <f>AND('Listado General'!#REF!,"AAAAAE9Wvx4=")</f>
        <v>#REF!</v>
      </c>
      <c r="AF39" t="e">
        <f>AND('Listado General'!#REF!,"AAAAAE9Wvx8=")</f>
        <v>#REF!</v>
      </c>
      <c r="AG39" t="e">
        <f>AND('Listado General'!#REF!,"AAAAAE9WvyA=")</f>
        <v>#REF!</v>
      </c>
      <c r="AH39" t="e">
        <f>AND('Listado General'!#REF!,"AAAAAE9WvyE=")</f>
        <v>#REF!</v>
      </c>
      <c r="AI39" t="e">
        <f>AND('Listado General'!#REF!,"AAAAAE9WvyI=")</f>
        <v>#REF!</v>
      </c>
      <c r="AJ39" t="e">
        <f>AND('Listado General'!#REF!,"AAAAAE9WvyM=")</f>
        <v>#REF!</v>
      </c>
      <c r="AK39" t="e">
        <f>AND('Listado General'!#REF!,"AAAAAE9WvyQ=")</f>
        <v>#REF!</v>
      </c>
      <c r="AL39" t="e">
        <f>IF('Listado General'!#REF!,"AAAAAE9WvyU=",0)</f>
        <v>#REF!</v>
      </c>
      <c r="AM39" t="e">
        <f>AND('Listado General'!#REF!,"AAAAAE9WvyY=")</f>
        <v>#REF!</v>
      </c>
      <c r="AN39" t="e">
        <f>AND('Listado General'!#REF!,"AAAAAE9Wvyc=")</f>
        <v>#REF!</v>
      </c>
      <c r="AO39" t="e">
        <f>AND('Listado General'!#REF!,"AAAAAE9Wvyg=")</f>
        <v>#REF!</v>
      </c>
      <c r="AP39" t="e">
        <f>AND('Listado General'!#REF!,"AAAAAE9Wvyk=")</f>
        <v>#REF!</v>
      </c>
      <c r="AQ39" t="e">
        <f>AND('Listado General'!#REF!,"AAAAAE9Wvyo=")</f>
        <v>#REF!</v>
      </c>
      <c r="AR39" t="e">
        <f>AND('Listado General'!#REF!,"AAAAAE9Wvys=")</f>
        <v>#REF!</v>
      </c>
      <c r="AS39" t="e">
        <f>AND('Listado General'!#REF!,"AAAAAE9Wvyw=")</f>
        <v>#REF!</v>
      </c>
      <c r="AT39" t="e">
        <f>AND('Listado General'!#REF!,"AAAAAE9Wvy0=")</f>
        <v>#REF!</v>
      </c>
      <c r="AU39" t="e">
        <f>AND('Listado General'!#REF!,"AAAAAE9Wvy4=")</f>
        <v>#REF!</v>
      </c>
      <c r="AV39" t="e">
        <f>IF('Listado General'!#REF!,"AAAAAE9Wvy8=",0)</f>
        <v>#REF!</v>
      </c>
      <c r="AW39" t="e">
        <f>AND('Listado General'!#REF!,"AAAAAE9WvzA=")</f>
        <v>#REF!</v>
      </c>
      <c r="AX39" t="e">
        <f>AND('Listado General'!#REF!,"AAAAAE9WvzE=")</f>
        <v>#REF!</v>
      </c>
      <c r="AY39" t="e">
        <f>AND('Listado General'!#REF!,"AAAAAE9WvzI=")</f>
        <v>#REF!</v>
      </c>
      <c r="AZ39" t="e">
        <f>AND('Listado General'!#REF!,"AAAAAE9WvzM=")</f>
        <v>#REF!</v>
      </c>
      <c r="BA39" t="e">
        <f>AND('Listado General'!#REF!,"AAAAAE9WvzQ=")</f>
        <v>#REF!</v>
      </c>
      <c r="BB39" t="e">
        <f>AND('Listado General'!#REF!,"AAAAAE9WvzU=")</f>
        <v>#REF!</v>
      </c>
      <c r="BC39" t="e">
        <f>AND('Listado General'!#REF!,"AAAAAE9WvzY=")</f>
        <v>#REF!</v>
      </c>
      <c r="BD39" t="e">
        <f>AND('Listado General'!#REF!,"AAAAAE9Wvzc=")</f>
        <v>#REF!</v>
      </c>
      <c r="BE39" t="e">
        <f>AND('Listado General'!#REF!,"AAAAAE9Wvzg=")</f>
        <v>#REF!</v>
      </c>
      <c r="BF39" t="e">
        <f>IF('Listado General'!#REF!,"AAAAAE9Wvzk=",0)</f>
        <v>#REF!</v>
      </c>
      <c r="BG39" t="e">
        <f>AND('Listado General'!#REF!,"AAAAAE9Wvzo=")</f>
        <v>#REF!</v>
      </c>
      <c r="BH39" t="e">
        <f>AND('Listado General'!#REF!,"AAAAAE9Wvzs=")</f>
        <v>#REF!</v>
      </c>
      <c r="BI39" t="e">
        <f>AND('Listado General'!#REF!,"AAAAAE9Wvzw=")</f>
        <v>#REF!</v>
      </c>
      <c r="BJ39" t="e">
        <f>AND('Listado General'!#REF!,"AAAAAE9Wvz0=")</f>
        <v>#REF!</v>
      </c>
      <c r="BK39" t="e">
        <f>AND('Listado General'!#REF!,"AAAAAE9Wvz4=")</f>
        <v>#REF!</v>
      </c>
      <c r="BL39" t="e">
        <f>AND('Listado General'!#REF!,"AAAAAE9Wvz8=")</f>
        <v>#REF!</v>
      </c>
      <c r="BM39" t="e">
        <f>AND('Listado General'!#REF!,"AAAAAE9Wv0A=")</f>
        <v>#REF!</v>
      </c>
      <c r="BN39" t="e">
        <f>AND('Listado General'!#REF!,"AAAAAE9Wv0E=")</f>
        <v>#REF!</v>
      </c>
      <c r="BO39" t="e">
        <f>AND('Listado General'!#REF!,"AAAAAE9Wv0I=")</f>
        <v>#REF!</v>
      </c>
      <c r="BP39" t="e">
        <f>IF('Listado General'!#REF!,"AAAAAE9Wv0M=",0)</f>
        <v>#REF!</v>
      </c>
      <c r="BQ39" t="e">
        <f>AND('Listado General'!#REF!,"AAAAAE9Wv0Q=")</f>
        <v>#REF!</v>
      </c>
      <c r="BR39" t="e">
        <f>AND('Listado General'!#REF!,"AAAAAE9Wv0U=")</f>
        <v>#REF!</v>
      </c>
      <c r="BS39" t="e">
        <f>AND('Listado General'!#REF!,"AAAAAE9Wv0Y=")</f>
        <v>#REF!</v>
      </c>
      <c r="BT39" t="e">
        <f>AND('Listado General'!#REF!,"AAAAAE9Wv0c=")</f>
        <v>#REF!</v>
      </c>
      <c r="BU39" t="e">
        <f>AND('Listado General'!#REF!,"AAAAAE9Wv0g=")</f>
        <v>#REF!</v>
      </c>
      <c r="BV39" t="e">
        <f>AND('Listado General'!#REF!,"AAAAAE9Wv0k=")</f>
        <v>#REF!</v>
      </c>
      <c r="BW39" t="e">
        <f>AND('Listado General'!#REF!,"AAAAAE9Wv0o=")</f>
        <v>#REF!</v>
      </c>
      <c r="BX39" t="e">
        <f>AND('Listado General'!#REF!,"AAAAAE9Wv0s=")</f>
        <v>#REF!</v>
      </c>
      <c r="BY39" t="e">
        <f>AND('Listado General'!#REF!,"AAAAAE9Wv0w=")</f>
        <v>#REF!</v>
      </c>
      <c r="BZ39" t="e">
        <f>IF('Listado General'!#REF!,"AAAAAE9Wv00=",0)</f>
        <v>#REF!</v>
      </c>
      <c r="CA39" t="e">
        <f>AND('Listado General'!#REF!,"AAAAAE9Wv04=")</f>
        <v>#REF!</v>
      </c>
      <c r="CB39" t="e">
        <f>AND('Listado General'!#REF!,"AAAAAE9Wv08=")</f>
        <v>#REF!</v>
      </c>
      <c r="CC39" t="e">
        <f>AND('Listado General'!#REF!,"AAAAAE9Wv1A=")</f>
        <v>#REF!</v>
      </c>
      <c r="CD39" t="e">
        <f>AND('Listado General'!#REF!,"AAAAAE9Wv1E=")</f>
        <v>#REF!</v>
      </c>
      <c r="CE39" t="e">
        <f>AND('Listado General'!#REF!,"AAAAAE9Wv1I=")</f>
        <v>#REF!</v>
      </c>
      <c r="CF39" t="e">
        <f>AND('Listado General'!#REF!,"AAAAAE9Wv1M=")</f>
        <v>#REF!</v>
      </c>
      <c r="CG39" t="e">
        <f>AND('Listado General'!#REF!,"AAAAAE9Wv1Q=")</f>
        <v>#REF!</v>
      </c>
      <c r="CH39" t="e">
        <f>AND('Listado General'!#REF!,"AAAAAE9Wv1U=")</f>
        <v>#REF!</v>
      </c>
      <c r="CI39" t="e">
        <f>AND('Listado General'!#REF!,"AAAAAE9Wv1Y=")</f>
        <v>#REF!</v>
      </c>
      <c r="CJ39" t="e">
        <f>IF('Listado General'!#REF!,"AAAAAE9Wv1c=",0)</f>
        <v>#REF!</v>
      </c>
      <c r="CK39" t="e">
        <f>AND('Listado General'!#REF!,"AAAAAE9Wv1g=")</f>
        <v>#REF!</v>
      </c>
      <c r="CL39" t="e">
        <f>AND('Listado General'!#REF!,"AAAAAE9Wv1k=")</f>
        <v>#REF!</v>
      </c>
      <c r="CM39" t="e">
        <f>AND('Listado General'!#REF!,"AAAAAE9Wv1o=")</f>
        <v>#REF!</v>
      </c>
      <c r="CN39" t="e">
        <f>AND('Listado General'!#REF!,"AAAAAE9Wv1s=")</f>
        <v>#REF!</v>
      </c>
      <c r="CO39" t="e">
        <f>AND('Listado General'!#REF!,"AAAAAE9Wv1w=")</f>
        <v>#REF!</v>
      </c>
      <c r="CP39" t="e">
        <f>AND('Listado General'!#REF!,"AAAAAE9Wv10=")</f>
        <v>#REF!</v>
      </c>
      <c r="CQ39" t="e">
        <f>AND('Listado General'!#REF!,"AAAAAE9Wv14=")</f>
        <v>#REF!</v>
      </c>
      <c r="CR39" t="e">
        <f>AND('Listado General'!#REF!,"AAAAAE9Wv18=")</f>
        <v>#REF!</v>
      </c>
      <c r="CS39" t="e">
        <f>AND('Listado General'!#REF!,"AAAAAE9Wv2A=")</f>
        <v>#REF!</v>
      </c>
      <c r="CT39" t="e">
        <f>IF('Listado General'!#REF!,"AAAAAE9Wv2E=",0)</f>
        <v>#REF!</v>
      </c>
      <c r="CU39" t="e">
        <f>AND('Listado General'!#REF!,"AAAAAE9Wv2I=")</f>
        <v>#REF!</v>
      </c>
      <c r="CV39" t="e">
        <f>AND('Listado General'!#REF!,"AAAAAE9Wv2M=")</f>
        <v>#REF!</v>
      </c>
      <c r="CW39" t="e">
        <f>AND('Listado General'!#REF!,"AAAAAE9Wv2Q=")</f>
        <v>#REF!</v>
      </c>
      <c r="CX39" t="e">
        <f>AND('Listado General'!#REF!,"AAAAAE9Wv2U=")</f>
        <v>#REF!</v>
      </c>
      <c r="CY39" t="e">
        <f>AND('Listado General'!#REF!,"AAAAAE9Wv2Y=")</f>
        <v>#REF!</v>
      </c>
      <c r="CZ39" t="e">
        <f>AND('Listado General'!#REF!,"AAAAAE9Wv2c=")</f>
        <v>#REF!</v>
      </c>
      <c r="DA39" t="e">
        <f>AND('Listado General'!#REF!,"AAAAAE9Wv2g=")</f>
        <v>#REF!</v>
      </c>
      <c r="DB39" t="e">
        <f>AND('Listado General'!#REF!,"AAAAAE9Wv2k=")</f>
        <v>#REF!</v>
      </c>
      <c r="DC39" t="e">
        <f>AND('Listado General'!#REF!,"AAAAAE9Wv2o=")</f>
        <v>#REF!</v>
      </c>
      <c r="DD39" t="e">
        <f>IF('Listado General'!#REF!,"AAAAAE9Wv2s=",0)</f>
        <v>#REF!</v>
      </c>
      <c r="DE39" t="e">
        <f>AND('Listado General'!#REF!,"AAAAAE9Wv2w=")</f>
        <v>#REF!</v>
      </c>
      <c r="DF39" t="e">
        <f>AND('Listado General'!#REF!,"AAAAAE9Wv20=")</f>
        <v>#REF!</v>
      </c>
      <c r="DG39" t="e">
        <f>AND('Listado General'!#REF!,"AAAAAE9Wv24=")</f>
        <v>#REF!</v>
      </c>
      <c r="DH39" t="e">
        <f>AND('Listado General'!#REF!,"AAAAAE9Wv28=")</f>
        <v>#REF!</v>
      </c>
      <c r="DI39" t="e">
        <f>AND('Listado General'!#REF!,"AAAAAE9Wv3A=")</f>
        <v>#REF!</v>
      </c>
      <c r="DJ39" t="e">
        <f>AND('Listado General'!#REF!,"AAAAAE9Wv3E=")</f>
        <v>#REF!</v>
      </c>
      <c r="DK39" t="e">
        <f>AND('Listado General'!#REF!,"AAAAAE9Wv3I=")</f>
        <v>#REF!</v>
      </c>
      <c r="DL39" t="e">
        <f>AND('Listado General'!#REF!,"AAAAAE9Wv3M=")</f>
        <v>#REF!</v>
      </c>
      <c r="DM39" t="e">
        <f>AND('Listado General'!#REF!,"AAAAAE9Wv3Q=")</f>
        <v>#REF!</v>
      </c>
      <c r="DN39" t="e">
        <f>IF('Listado General'!#REF!,"AAAAAE9Wv3U=",0)</f>
        <v>#REF!</v>
      </c>
      <c r="DO39" t="e">
        <f>AND('Listado General'!#REF!,"AAAAAE9Wv3Y=")</f>
        <v>#REF!</v>
      </c>
      <c r="DP39" t="e">
        <f>AND('Listado General'!#REF!,"AAAAAE9Wv3c=")</f>
        <v>#REF!</v>
      </c>
      <c r="DQ39" t="e">
        <f>AND('Listado General'!#REF!,"AAAAAE9Wv3g=")</f>
        <v>#REF!</v>
      </c>
      <c r="DR39" t="e">
        <f>AND('Listado General'!#REF!,"AAAAAE9Wv3k=")</f>
        <v>#REF!</v>
      </c>
      <c r="DS39" t="e">
        <f>AND('Listado General'!#REF!,"AAAAAE9Wv3o=")</f>
        <v>#REF!</v>
      </c>
      <c r="DT39" t="e">
        <f>AND('Listado General'!#REF!,"AAAAAE9Wv3s=")</f>
        <v>#REF!</v>
      </c>
      <c r="DU39" t="e">
        <f>AND('Listado General'!#REF!,"AAAAAE9Wv3w=")</f>
        <v>#REF!</v>
      </c>
      <c r="DV39" t="e">
        <f>AND('Listado General'!#REF!,"AAAAAE9Wv30=")</f>
        <v>#REF!</v>
      </c>
      <c r="DW39" t="e">
        <f>AND('Listado General'!#REF!,"AAAAAE9Wv34=")</f>
        <v>#REF!</v>
      </c>
      <c r="DX39" t="e">
        <f>IF('Listado General'!#REF!,"AAAAAE9Wv38=",0)</f>
        <v>#REF!</v>
      </c>
      <c r="DY39" t="e">
        <f>AND('Listado General'!#REF!,"AAAAAE9Wv4A=")</f>
        <v>#REF!</v>
      </c>
      <c r="DZ39" t="e">
        <f>AND('Listado General'!#REF!,"AAAAAE9Wv4E=")</f>
        <v>#REF!</v>
      </c>
      <c r="EA39" t="e">
        <f>AND('Listado General'!#REF!,"AAAAAE9Wv4I=")</f>
        <v>#REF!</v>
      </c>
      <c r="EB39" t="e">
        <f>AND('Listado General'!#REF!,"AAAAAE9Wv4M=")</f>
        <v>#REF!</v>
      </c>
      <c r="EC39" t="e">
        <f>AND('Listado General'!#REF!,"AAAAAE9Wv4Q=")</f>
        <v>#REF!</v>
      </c>
      <c r="ED39" t="e">
        <f>AND('Listado General'!#REF!,"AAAAAE9Wv4U=")</f>
        <v>#REF!</v>
      </c>
      <c r="EE39" t="e">
        <f>AND('Listado General'!#REF!,"AAAAAE9Wv4Y=")</f>
        <v>#REF!</v>
      </c>
      <c r="EF39" t="e">
        <f>AND('Listado General'!#REF!,"AAAAAE9Wv4c=")</f>
        <v>#REF!</v>
      </c>
      <c r="EG39" t="e">
        <f>AND('Listado General'!#REF!,"AAAAAE9Wv4g=")</f>
        <v>#REF!</v>
      </c>
      <c r="EH39" t="e">
        <f>IF('Listado General'!#REF!,"AAAAAE9Wv4k=",0)</f>
        <v>#REF!</v>
      </c>
      <c r="EI39" t="e">
        <f>AND('Listado General'!#REF!,"AAAAAE9Wv4o=")</f>
        <v>#REF!</v>
      </c>
      <c r="EJ39" t="e">
        <f>AND('Listado General'!#REF!,"AAAAAE9Wv4s=")</f>
        <v>#REF!</v>
      </c>
      <c r="EK39" t="e">
        <f>AND('Listado General'!#REF!,"AAAAAE9Wv4w=")</f>
        <v>#REF!</v>
      </c>
      <c r="EL39" t="e">
        <f>AND('Listado General'!#REF!,"AAAAAE9Wv40=")</f>
        <v>#REF!</v>
      </c>
      <c r="EM39" t="e">
        <f>AND('Listado General'!#REF!,"AAAAAE9Wv44=")</f>
        <v>#REF!</v>
      </c>
      <c r="EN39" t="e">
        <f>AND('Listado General'!#REF!,"AAAAAE9Wv48=")</f>
        <v>#REF!</v>
      </c>
      <c r="EO39" t="e">
        <f>AND('Listado General'!#REF!,"AAAAAE9Wv5A=")</f>
        <v>#REF!</v>
      </c>
      <c r="EP39" t="e">
        <f>AND('Listado General'!#REF!,"AAAAAE9Wv5E=")</f>
        <v>#REF!</v>
      </c>
      <c r="EQ39" t="e">
        <f>AND('Listado General'!#REF!,"AAAAAE9Wv5I=")</f>
        <v>#REF!</v>
      </c>
      <c r="ER39" t="e">
        <f>IF('Listado General'!#REF!,"AAAAAE9Wv5M=",0)</f>
        <v>#REF!</v>
      </c>
      <c r="ES39" t="e">
        <f>AND('Listado General'!#REF!,"AAAAAE9Wv5Q=")</f>
        <v>#REF!</v>
      </c>
      <c r="ET39" t="e">
        <f>AND('Listado General'!#REF!,"AAAAAE9Wv5U=")</f>
        <v>#REF!</v>
      </c>
      <c r="EU39" t="e">
        <f>AND('Listado General'!#REF!,"AAAAAE9Wv5Y=")</f>
        <v>#REF!</v>
      </c>
      <c r="EV39" t="e">
        <f>AND('Listado General'!#REF!,"AAAAAE9Wv5c=")</f>
        <v>#REF!</v>
      </c>
      <c r="EW39" t="e">
        <f>AND('Listado General'!#REF!,"AAAAAE9Wv5g=")</f>
        <v>#REF!</v>
      </c>
      <c r="EX39" t="e">
        <f>AND('Listado General'!#REF!,"AAAAAE9Wv5k=")</f>
        <v>#REF!</v>
      </c>
      <c r="EY39" t="e">
        <f>AND('Listado General'!#REF!,"AAAAAE9Wv5o=")</f>
        <v>#REF!</v>
      </c>
      <c r="EZ39" t="e">
        <f>AND('Listado General'!#REF!,"AAAAAE9Wv5s=")</f>
        <v>#REF!</v>
      </c>
      <c r="FA39" t="e">
        <f>AND('Listado General'!#REF!,"AAAAAE9Wv5w=")</f>
        <v>#REF!</v>
      </c>
      <c r="FB39" t="e">
        <f>IF('Listado General'!#REF!,"AAAAAE9Wv50=",0)</f>
        <v>#REF!</v>
      </c>
      <c r="FC39" t="e">
        <f>AND('Listado General'!#REF!,"AAAAAE9Wv54=")</f>
        <v>#REF!</v>
      </c>
      <c r="FD39" t="e">
        <f>AND('Listado General'!#REF!,"AAAAAE9Wv58=")</f>
        <v>#REF!</v>
      </c>
      <c r="FE39" t="e">
        <f>AND('Listado General'!#REF!,"AAAAAE9Wv6A=")</f>
        <v>#REF!</v>
      </c>
      <c r="FF39" t="e">
        <f>AND('Listado General'!#REF!,"AAAAAE9Wv6E=")</f>
        <v>#REF!</v>
      </c>
      <c r="FG39" t="e">
        <f>AND('Listado General'!#REF!,"AAAAAE9Wv6I=")</f>
        <v>#REF!</v>
      </c>
      <c r="FH39" t="e">
        <f>AND('Listado General'!#REF!,"AAAAAE9Wv6M=")</f>
        <v>#REF!</v>
      </c>
      <c r="FI39" t="e">
        <f>AND('Listado General'!#REF!,"AAAAAE9Wv6Q=")</f>
        <v>#REF!</v>
      </c>
      <c r="FJ39" t="e">
        <f>AND('Listado General'!#REF!,"AAAAAE9Wv6U=")</f>
        <v>#REF!</v>
      </c>
      <c r="FK39" t="e">
        <f>AND('Listado General'!#REF!,"AAAAAE9Wv6Y=")</f>
        <v>#REF!</v>
      </c>
      <c r="FL39" t="e">
        <f>IF('Listado General'!#REF!,"AAAAAE9Wv6c=",0)</f>
        <v>#REF!</v>
      </c>
      <c r="FM39" t="e">
        <f>AND('Listado General'!#REF!,"AAAAAE9Wv6g=")</f>
        <v>#REF!</v>
      </c>
      <c r="FN39" t="e">
        <f>AND('Listado General'!#REF!,"AAAAAE9Wv6k=")</f>
        <v>#REF!</v>
      </c>
      <c r="FO39" t="e">
        <f>AND('Listado General'!#REF!,"AAAAAE9Wv6o=")</f>
        <v>#REF!</v>
      </c>
      <c r="FP39" t="e">
        <f>AND('Listado General'!#REF!,"AAAAAE9Wv6s=")</f>
        <v>#REF!</v>
      </c>
      <c r="FQ39" t="e">
        <f>AND('Listado General'!#REF!,"AAAAAE9Wv6w=")</f>
        <v>#REF!</v>
      </c>
      <c r="FR39" t="e">
        <f>AND('Listado General'!#REF!,"AAAAAE9Wv60=")</f>
        <v>#REF!</v>
      </c>
      <c r="FS39" t="e">
        <f>AND('Listado General'!#REF!,"AAAAAE9Wv64=")</f>
        <v>#REF!</v>
      </c>
      <c r="FT39" t="e">
        <f>AND('Listado General'!#REF!,"AAAAAE9Wv68=")</f>
        <v>#REF!</v>
      </c>
      <c r="FU39" t="e">
        <f>AND('Listado General'!#REF!,"AAAAAE9Wv7A=")</f>
        <v>#REF!</v>
      </c>
      <c r="FV39" t="e">
        <f>IF('Listado General'!#REF!,"AAAAAE9Wv7E=",0)</f>
        <v>#REF!</v>
      </c>
      <c r="FW39" t="e">
        <f>AND('Listado General'!#REF!,"AAAAAE9Wv7I=")</f>
        <v>#REF!</v>
      </c>
      <c r="FX39" t="e">
        <f>AND('Listado General'!#REF!,"AAAAAE9Wv7M=")</f>
        <v>#REF!</v>
      </c>
      <c r="FY39" t="e">
        <f>AND('Listado General'!#REF!,"AAAAAE9Wv7Q=")</f>
        <v>#REF!</v>
      </c>
      <c r="FZ39" t="e">
        <f>AND('Listado General'!#REF!,"AAAAAE9Wv7U=")</f>
        <v>#REF!</v>
      </c>
      <c r="GA39" t="e">
        <f>AND('Listado General'!#REF!,"AAAAAE9Wv7Y=")</f>
        <v>#REF!</v>
      </c>
      <c r="GB39" t="e">
        <f>AND('Listado General'!#REF!,"AAAAAE9Wv7c=")</f>
        <v>#REF!</v>
      </c>
      <c r="GC39" t="e">
        <f>AND('Listado General'!#REF!,"AAAAAE9Wv7g=")</f>
        <v>#REF!</v>
      </c>
      <c r="GD39" t="e">
        <f>AND('Listado General'!#REF!,"AAAAAE9Wv7k=")</f>
        <v>#REF!</v>
      </c>
      <c r="GE39" t="e">
        <f>AND('Listado General'!#REF!,"AAAAAE9Wv7o=")</f>
        <v>#REF!</v>
      </c>
      <c r="GF39" t="e">
        <f>IF('Listado General'!#REF!,"AAAAAE9Wv7s=",0)</f>
        <v>#REF!</v>
      </c>
      <c r="GG39" t="e">
        <f>AND('Listado General'!#REF!,"AAAAAE9Wv7w=")</f>
        <v>#REF!</v>
      </c>
      <c r="GH39" t="e">
        <f>AND('Listado General'!#REF!,"AAAAAE9Wv70=")</f>
        <v>#REF!</v>
      </c>
      <c r="GI39" t="e">
        <f>AND('Listado General'!#REF!,"AAAAAE9Wv74=")</f>
        <v>#REF!</v>
      </c>
      <c r="GJ39" t="e">
        <f>AND('Listado General'!#REF!,"AAAAAE9Wv78=")</f>
        <v>#REF!</v>
      </c>
      <c r="GK39" t="e">
        <f>AND('Listado General'!#REF!,"AAAAAE9Wv8A=")</f>
        <v>#REF!</v>
      </c>
      <c r="GL39" t="e">
        <f>AND('Listado General'!#REF!,"AAAAAE9Wv8E=")</f>
        <v>#REF!</v>
      </c>
      <c r="GM39" t="e">
        <f>AND('Listado General'!#REF!,"AAAAAE9Wv8I=")</f>
        <v>#REF!</v>
      </c>
      <c r="GN39" t="e">
        <f>AND('Listado General'!#REF!,"AAAAAE9Wv8M=")</f>
        <v>#REF!</v>
      </c>
      <c r="GO39" t="e">
        <f>AND('Listado General'!#REF!,"AAAAAE9Wv8Q=")</f>
        <v>#REF!</v>
      </c>
      <c r="GP39" t="e">
        <f>IF('Listado General'!#REF!,"AAAAAE9Wv8U=",0)</f>
        <v>#REF!</v>
      </c>
      <c r="GQ39" t="e">
        <f>AND('Listado General'!#REF!,"AAAAAE9Wv8Y=")</f>
        <v>#REF!</v>
      </c>
      <c r="GR39" t="e">
        <f>AND('Listado General'!#REF!,"AAAAAE9Wv8c=")</f>
        <v>#REF!</v>
      </c>
      <c r="GS39" t="e">
        <f>AND('Listado General'!#REF!,"AAAAAE9Wv8g=")</f>
        <v>#REF!</v>
      </c>
      <c r="GT39" t="e">
        <f>AND('Listado General'!#REF!,"AAAAAE9Wv8k=")</f>
        <v>#REF!</v>
      </c>
      <c r="GU39" t="e">
        <f>AND('Listado General'!#REF!,"AAAAAE9Wv8o=")</f>
        <v>#REF!</v>
      </c>
      <c r="GV39" t="e">
        <f>AND('Listado General'!#REF!,"AAAAAE9Wv8s=")</f>
        <v>#REF!</v>
      </c>
      <c r="GW39" t="e">
        <f>AND('Listado General'!#REF!,"AAAAAE9Wv8w=")</f>
        <v>#REF!</v>
      </c>
      <c r="GX39" t="e">
        <f>AND('Listado General'!#REF!,"AAAAAE9Wv80=")</f>
        <v>#REF!</v>
      </c>
      <c r="GY39" t="e">
        <f>AND('Listado General'!#REF!,"AAAAAE9Wv84=")</f>
        <v>#REF!</v>
      </c>
      <c r="GZ39" t="e">
        <f>IF('Listado General'!#REF!,"AAAAAE9Wv88=",0)</f>
        <v>#REF!</v>
      </c>
      <c r="HA39" t="e">
        <f>AND('Listado General'!#REF!,"AAAAAE9Wv9A=")</f>
        <v>#REF!</v>
      </c>
      <c r="HB39" t="e">
        <f>AND('Listado General'!#REF!,"AAAAAE9Wv9E=")</f>
        <v>#REF!</v>
      </c>
      <c r="HC39" t="e">
        <f>AND('Listado General'!#REF!,"AAAAAE9Wv9I=")</f>
        <v>#REF!</v>
      </c>
      <c r="HD39" t="e">
        <f>AND('Listado General'!#REF!,"AAAAAE9Wv9M=")</f>
        <v>#REF!</v>
      </c>
      <c r="HE39" t="e">
        <f>AND('Listado General'!#REF!,"AAAAAE9Wv9Q=")</f>
        <v>#REF!</v>
      </c>
      <c r="HF39" t="e">
        <f>AND('Listado General'!#REF!,"AAAAAE9Wv9U=")</f>
        <v>#REF!</v>
      </c>
      <c r="HG39" t="e">
        <f>AND('Listado General'!#REF!,"AAAAAE9Wv9Y=")</f>
        <v>#REF!</v>
      </c>
      <c r="HH39" t="e">
        <f>AND('Listado General'!#REF!,"AAAAAE9Wv9c=")</f>
        <v>#REF!</v>
      </c>
      <c r="HI39" t="e">
        <f>AND('Listado General'!#REF!,"AAAAAE9Wv9g=")</f>
        <v>#REF!</v>
      </c>
      <c r="HJ39" t="e">
        <f>IF('Listado General'!#REF!,"AAAAAE9Wv9k=",0)</f>
        <v>#REF!</v>
      </c>
      <c r="HK39" t="e">
        <f>AND('Listado General'!#REF!,"AAAAAE9Wv9o=")</f>
        <v>#REF!</v>
      </c>
      <c r="HL39" t="e">
        <f>AND('Listado General'!#REF!,"AAAAAE9Wv9s=")</f>
        <v>#REF!</v>
      </c>
      <c r="HM39" t="e">
        <f>AND('Listado General'!#REF!,"AAAAAE9Wv9w=")</f>
        <v>#REF!</v>
      </c>
      <c r="HN39" t="e">
        <f>AND('Listado General'!#REF!,"AAAAAE9Wv90=")</f>
        <v>#REF!</v>
      </c>
      <c r="HO39" t="e">
        <f>AND('Listado General'!#REF!,"AAAAAE9Wv94=")</f>
        <v>#REF!</v>
      </c>
      <c r="HP39" t="e">
        <f>AND('Listado General'!#REF!,"AAAAAE9Wv98=")</f>
        <v>#REF!</v>
      </c>
      <c r="HQ39" t="e">
        <f>AND('Listado General'!#REF!,"AAAAAE9Wv+A=")</f>
        <v>#REF!</v>
      </c>
      <c r="HR39" t="e">
        <f>AND('Listado General'!#REF!,"AAAAAE9Wv+E=")</f>
        <v>#REF!</v>
      </c>
      <c r="HS39" t="e">
        <f>AND('Listado General'!#REF!,"AAAAAE9Wv+I=")</f>
        <v>#REF!</v>
      </c>
      <c r="HT39" t="e">
        <f>IF('Listado General'!#REF!,"AAAAAE9Wv+M=",0)</f>
        <v>#REF!</v>
      </c>
      <c r="HU39" t="e">
        <f>AND('Listado General'!#REF!,"AAAAAE9Wv+Q=")</f>
        <v>#REF!</v>
      </c>
      <c r="HV39" t="e">
        <f>AND('Listado General'!#REF!,"AAAAAE9Wv+U=")</f>
        <v>#REF!</v>
      </c>
      <c r="HW39" t="e">
        <f>AND('Listado General'!#REF!,"AAAAAE9Wv+Y=")</f>
        <v>#REF!</v>
      </c>
      <c r="HX39" t="e">
        <f>AND('Listado General'!#REF!,"AAAAAE9Wv+c=")</f>
        <v>#REF!</v>
      </c>
      <c r="HY39" t="e">
        <f>AND('Listado General'!#REF!,"AAAAAE9Wv+g=")</f>
        <v>#REF!</v>
      </c>
      <c r="HZ39" t="e">
        <f>AND('Listado General'!#REF!,"AAAAAE9Wv+k=")</f>
        <v>#REF!</v>
      </c>
      <c r="IA39" t="e">
        <f>AND('Listado General'!#REF!,"AAAAAE9Wv+o=")</f>
        <v>#REF!</v>
      </c>
      <c r="IB39" t="e">
        <f>AND('Listado General'!#REF!,"AAAAAE9Wv+s=")</f>
        <v>#REF!</v>
      </c>
      <c r="IC39" t="e">
        <f>AND('Listado General'!#REF!,"AAAAAE9Wv+w=")</f>
        <v>#REF!</v>
      </c>
      <c r="ID39" t="e">
        <f>IF('Listado General'!#REF!,"AAAAAE9Wv+0=",0)</f>
        <v>#REF!</v>
      </c>
      <c r="IE39" t="e">
        <f>AND('Listado General'!#REF!,"AAAAAE9Wv+4=")</f>
        <v>#REF!</v>
      </c>
      <c r="IF39" t="e">
        <f>AND('Listado General'!#REF!,"AAAAAE9Wv+8=")</f>
        <v>#REF!</v>
      </c>
      <c r="IG39" t="e">
        <f>AND('Listado General'!#REF!,"AAAAAE9Wv/A=")</f>
        <v>#REF!</v>
      </c>
      <c r="IH39" t="e">
        <f>AND('Listado General'!#REF!,"AAAAAE9Wv/E=")</f>
        <v>#REF!</v>
      </c>
      <c r="II39" t="e">
        <f>AND('Listado General'!#REF!,"AAAAAE9Wv/I=")</f>
        <v>#REF!</v>
      </c>
      <c r="IJ39" t="e">
        <f>AND('Listado General'!#REF!,"AAAAAE9Wv/M=")</f>
        <v>#REF!</v>
      </c>
      <c r="IK39" t="e">
        <f>AND('Listado General'!#REF!,"AAAAAE9Wv/Q=")</f>
        <v>#REF!</v>
      </c>
      <c r="IL39" t="e">
        <f>AND('Listado General'!#REF!,"AAAAAE9Wv/U=")</f>
        <v>#REF!</v>
      </c>
      <c r="IM39" t="e">
        <f>AND('Listado General'!#REF!,"AAAAAE9Wv/Y=")</f>
        <v>#REF!</v>
      </c>
      <c r="IN39" t="e">
        <f>IF('Listado General'!#REF!,"AAAAAE9Wv/c=",0)</f>
        <v>#REF!</v>
      </c>
      <c r="IO39" t="e">
        <f>AND('Listado General'!#REF!,"AAAAAE9Wv/g=")</f>
        <v>#REF!</v>
      </c>
      <c r="IP39" t="e">
        <f>AND('Listado General'!#REF!,"AAAAAE9Wv/k=")</f>
        <v>#REF!</v>
      </c>
      <c r="IQ39" t="e">
        <f>AND('Listado General'!#REF!,"AAAAAE9Wv/o=")</f>
        <v>#REF!</v>
      </c>
      <c r="IR39" t="e">
        <f>AND('Listado General'!#REF!,"AAAAAE9Wv/s=")</f>
        <v>#REF!</v>
      </c>
      <c r="IS39" t="e">
        <f>AND('Listado General'!#REF!,"AAAAAE9Wv/w=")</f>
        <v>#REF!</v>
      </c>
      <c r="IT39" t="e">
        <f>AND('Listado General'!#REF!,"AAAAAE9Wv/0=")</f>
        <v>#REF!</v>
      </c>
      <c r="IU39" t="e">
        <f>AND('Listado General'!#REF!,"AAAAAE9Wv/4=")</f>
        <v>#REF!</v>
      </c>
      <c r="IV39" t="e">
        <f>AND('Listado General'!#REF!,"AAAAAE9Wv/8=")</f>
        <v>#REF!</v>
      </c>
    </row>
    <row r="40" spans="1:256" ht="12.75">
      <c r="A40" t="e">
        <f>AND('Listado General'!#REF!,"AAAAAD9nLgA=")</f>
        <v>#REF!</v>
      </c>
      <c r="B40" t="e">
        <f>IF('Listado General'!#REF!,"AAAAAD9nLgE=",0)</f>
        <v>#REF!</v>
      </c>
      <c r="C40" t="e">
        <f>AND('Listado General'!#REF!,"AAAAAD9nLgI=")</f>
        <v>#REF!</v>
      </c>
      <c r="D40" t="e">
        <f>AND('Listado General'!#REF!,"AAAAAD9nLgM=")</f>
        <v>#REF!</v>
      </c>
      <c r="E40" t="e">
        <f>AND('Listado General'!#REF!,"AAAAAD9nLgQ=")</f>
        <v>#REF!</v>
      </c>
      <c r="F40" t="e">
        <f>AND('Listado General'!#REF!,"AAAAAD9nLgU=")</f>
        <v>#REF!</v>
      </c>
      <c r="G40" t="e">
        <f>AND('Listado General'!#REF!,"AAAAAD9nLgY=")</f>
        <v>#REF!</v>
      </c>
      <c r="H40" t="e">
        <f>AND('Listado General'!#REF!,"AAAAAD9nLgc=")</f>
        <v>#REF!</v>
      </c>
      <c r="I40" t="e">
        <f>AND('Listado General'!#REF!,"AAAAAD9nLgg=")</f>
        <v>#REF!</v>
      </c>
      <c r="J40" t="e">
        <f>AND('Listado General'!#REF!,"AAAAAD9nLgk=")</f>
        <v>#REF!</v>
      </c>
      <c r="K40" t="e">
        <f>AND('Listado General'!#REF!,"AAAAAD9nLgo=")</f>
        <v>#REF!</v>
      </c>
      <c r="L40" t="e">
        <f>IF('Listado General'!#REF!,"AAAAAD9nLgs=",0)</f>
        <v>#REF!</v>
      </c>
      <c r="M40" t="e">
        <f>AND('Listado General'!#REF!,"AAAAAD9nLgw=")</f>
        <v>#REF!</v>
      </c>
      <c r="N40" t="e">
        <f>AND('Listado General'!#REF!,"AAAAAD9nLg0=")</f>
        <v>#REF!</v>
      </c>
      <c r="O40" t="e">
        <f>AND('Listado General'!#REF!,"AAAAAD9nLg4=")</f>
        <v>#REF!</v>
      </c>
      <c r="P40" t="e">
        <f>AND('Listado General'!#REF!,"AAAAAD9nLg8=")</f>
        <v>#REF!</v>
      </c>
      <c r="Q40" t="e">
        <f>AND('Listado General'!#REF!,"AAAAAD9nLhA=")</f>
        <v>#REF!</v>
      </c>
      <c r="R40" t="e">
        <f>AND('Listado General'!#REF!,"AAAAAD9nLhE=")</f>
        <v>#REF!</v>
      </c>
      <c r="S40" t="e">
        <f>AND('Listado General'!#REF!,"AAAAAD9nLhI=")</f>
        <v>#REF!</v>
      </c>
      <c r="T40" t="e">
        <f>AND('Listado General'!#REF!,"AAAAAD9nLhM=")</f>
        <v>#REF!</v>
      </c>
      <c r="U40" t="e">
        <f>AND('Listado General'!#REF!,"AAAAAD9nLhQ=")</f>
        <v>#REF!</v>
      </c>
      <c r="V40" t="e">
        <f>IF('Listado General'!#REF!,"AAAAAD9nLhU=",0)</f>
        <v>#REF!</v>
      </c>
      <c r="W40" t="e">
        <f>AND('Listado General'!#REF!,"AAAAAD9nLhY=")</f>
        <v>#REF!</v>
      </c>
      <c r="X40" t="e">
        <f>AND('Listado General'!#REF!,"AAAAAD9nLhc=")</f>
        <v>#REF!</v>
      </c>
      <c r="Y40" t="e">
        <f>AND('Listado General'!#REF!,"AAAAAD9nLhg=")</f>
        <v>#REF!</v>
      </c>
      <c r="Z40" t="e">
        <f>AND('Listado General'!#REF!,"AAAAAD9nLhk=")</f>
        <v>#REF!</v>
      </c>
      <c r="AA40" t="e">
        <f>AND('Listado General'!#REF!,"AAAAAD9nLho=")</f>
        <v>#REF!</v>
      </c>
      <c r="AB40" t="e">
        <f>AND('Listado General'!#REF!,"AAAAAD9nLhs=")</f>
        <v>#REF!</v>
      </c>
      <c r="AC40" t="e">
        <f>AND('Listado General'!#REF!,"AAAAAD9nLhw=")</f>
        <v>#REF!</v>
      </c>
      <c r="AD40" t="e">
        <f>AND('Listado General'!#REF!,"AAAAAD9nLh0=")</f>
        <v>#REF!</v>
      </c>
      <c r="AE40" t="e">
        <f>AND('Listado General'!#REF!,"AAAAAD9nLh4=")</f>
        <v>#REF!</v>
      </c>
      <c r="AF40" t="e">
        <f>IF('Listado General'!#REF!,"AAAAAD9nLh8=",0)</f>
        <v>#REF!</v>
      </c>
      <c r="AG40" t="e">
        <f>AND('Listado General'!#REF!,"AAAAAD9nLiA=")</f>
        <v>#REF!</v>
      </c>
      <c r="AH40" t="e">
        <f>AND('Listado General'!#REF!,"AAAAAD9nLiE=")</f>
        <v>#REF!</v>
      </c>
      <c r="AI40" t="e">
        <f>AND('Listado General'!#REF!,"AAAAAD9nLiI=")</f>
        <v>#REF!</v>
      </c>
      <c r="AJ40" t="e">
        <f>AND('Listado General'!#REF!,"AAAAAD9nLiM=")</f>
        <v>#REF!</v>
      </c>
      <c r="AK40" t="e">
        <f>AND('Listado General'!#REF!,"AAAAAD9nLiQ=")</f>
        <v>#REF!</v>
      </c>
      <c r="AL40" t="e">
        <f>AND('Listado General'!#REF!,"AAAAAD9nLiU=")</f>
        <v>#REF!</v>
      </c>
      <c r="AM40" t="e">
        <f>AND('Listado General'!#REF!,"AAAAAD9nLiY=")</f>
        <v>#REF!</v>
      </c>
      <c r="AN40" t="e">
        <f>AND('Listado General'!#REF!,"AAAAAD9nLic=")</f>
        <v>#REF!</v>
      </c>
      <c r="AO40" t="e">
        <f>AND('Listado General'!#REF!,"AAAAAD9nLig=")</f>
        <v>#REF!</v>
      </c>
      <c r="AP40" t="e">
        <f>IF('Listado General'!#REF!,"AAAAAD9nLik=",0)</f>
        <v>#REF!</v>
      </c>
      <c r="AQ40" t="e">
        <f>AND('Listado General'!#REF!,"AAAAAD9nLio=")</f>
        <v>#REF!</v>
      </c>
      <c r="AR40" t="e">
        <f>AND('Listado General'!#REF!,"AAAAAD9nLis=")</f>
        <v>#REF!</v>
      </c>
      <c r="AS40" t="e">
        <f>AND('Listado General'!#REF!,"AAAAAD9nLiw=")</f>
        <v>#REF!</v>
      </c>
      <c r="AT40" t="e">
        <f>AND('Listado General'!#REF!,"AAAAAD9nLi0=")</f>
        <v>#REF!</v>
      </c>
      <c r="AU40" t="e">
        <f>AND('Listado General'!#REF!,"AAAAAD9nLi4=")</f>
        <v>#REF!</v>
      </c>
      <c r="AV40" t="e">
        <f>AND('Listado General'!#REF!,"AAAAAD9nLi8=")</f>
        <v>#REF!</v>
      </c>
      <c r="AW40" t="e">
        <f>AND('Listado General'!#REF!,"AAAAAD9nLjA=")</f>
        <v>#REF!</v>
      </c>
      <c r="AX40" t="e">
        <f>AND('Listado General'!#REF!,"AAAAAD9nLjE=")</f>
        <v>#REF!</v>
      </c>
      <c r="AY40" t="e">
        <f>AND('Listado General'!#REF!,"AAAAAD9nLjI=")</f>
        <v>#REF!</v>
      </c>
      <c r="AZ40" t="e">
        <f>IF('Listado General'!#REF!,"AAAAAD9nLjM=",0)</f>
        <v>#REF!</v>
      </c>
      <c r="BA40" t="e">
        <f>AND('Listado General'!#REF!,"AAAAAD9nLjQ=")</f>
        <v>#REF!</v>
      </c>
      <c r="BB40" t="e">
        <f>AND('Listado General'!#REF!,"AAAAAD9nLjU=")</f>
        <v>#REF!</v>
      </c>
      <c r="BC40" t="e">
        <f>AND('Listado General'!#REF!,"AAAAAD9nLjY=")</f>
        <v>#REF!</v>
      </c>
      <c r="BD40" t="e">
        <f>AND('Listado General'!#REF!,"AAAAAD9nLjc=")</f>
        <v>#REF!</v>
      </c>
      <c r="BE40" t="e">
        <f>AND('Listado General'!#REF!,"AAAAAD9nLjg=")</f>
        <v>#REF!</v>
      </c>
      <c r="BF40" t="e">
        <f>AND('Listado General'!#REF!,"AAAAAD9nLjk=")</f>
        <v>#REF!</v>
      </c>
      <c r="BG40" t="e">
        <f>AND('Listado General'!#REF!,"AAAAAD9nLjo=")</f>
        <v>#REF!</v>
      </c>
      <c r="BH40" t="e">
        <f>AND('Listado General'!#REF!,"AAAAAD9nLjs=")</f>
        <v>#REF!</v>
      </c>
      <c r="BI40" t="e">
        <f>AND('Listado General'!#REF!,"AAAAAD9nLjw=")</f>
        <v>#REF!</v>
      </c>
      <c r="BJ40" t="e">
        <f>IF('Listado General'!#REF!,"AAAAAD9nLj0=",0)</f>
        <v>#REF!</v>
      </c>
      <c r="BK40" t="e">
        <f>AND('Listado General'!#REF!,"AAAAAD9nLj4=")</f>
        <v>#REF!</v>
      </c>
      <c r="BL40" t="e">
        <f>AND('Listado General'!#REF!,"AAAAAD9nLj8=")</f>
        <v>#REF!</v>
      </c>
      <c r="BM40" t="e">
        <f>AND('Listado General'!#REF!,"AAAAAD9nLkA=")</f>
        <v>#REF!</v>
      </c>
      <c r="BN40" t="e">
        <f>AND('Listado General'!#REF!,"AAAAAD9nLkE=")</f>
        <v>#REF!</v>
      </c>
      <c r="BO40" t="e">
        <f>AND('Listado General'!#REF!,"AAAAAD9nLkI=")</f>
        <v>#REF!</v>
      </c>
      <c r="BP40" t="e">
        <f>AND('Listado General'!#REF!,"AAAAAD9nLkM=")</f>
        <v>#REF!</v>
      </c>
      <c r="BQ40" t="e">
        <f>AND('Listado General'!#REF!,"AAAAAD9nLkQ=")</f>
        <v>#REF!</v>
      </c>
      <c r="BR40" t="e">
        <f>AND('Listado General'!#REF!,"AAAAAD9nLkU=")</f>
        <v>#REF!</v>
      </c>
      <c r="BS40" t="e">
        <f>AND('Listado General'!#REF!,"AAAAAD9nLkY=")</f>
        <v>#REF!</v>
      </c>
      <c r="BT40" t="e">
        <f>IF('Listado General'!#REF!,"AAAAAD9nLkc=",0)</f>
        <v>#REF!</v>
      </c>
      <c r="BU40" t="e">
        <f>AND('Listado General'!#REF!,"AAAAAD9nLkg=")</f>
        <v>#REF!</v>
      </c>
      <c r="BV40" t="e">
        <f>AND('Listado General'!#REF!,"AAAAAD9nLkk=")</f>
        <v>#REF!</v>
      </c>
      <c r="BW40" t="e">
        <f>AND('Listado General'!#REF!,"AAAAAD9nLko=")</f>
        <v>#REF!</v>
      </c>
      <c r="BX40" t="e">
        <f>AND('Listado General'!#REF!,"AAAAAD9nLks=")</f>
        <v>#REF!</v>
      </c>
      <c r="BY40" t="e">
        <f>AND('Listado General'!#REF!,"AAAAAD9nLkw=")</f>
        <v>#REF!</v>
      </c>
      <c r="BZ40" t="e">
        <f>AND('Listado General'!#REF!,"AAAAAD9nLk0=")</f>
        <v>#REF!</v>
      </c>
      <c r="CA40" t="e">
        <f>AND('Listado General'!#REF!,"AAAAAD9nLk4=")</f>
        <v>#REF!</v>
      </c>
      <c r="CB40" t="e">
        <f>AND('Listado General'!#REF!,"AAAAAD9nLk8=")</f>
        <v>#REF!</v>
      </c>
      <c r="CC40" t="e">
        <f>AND('Listado General'!#REF!,"AAAAAD9nLlA=")</f>
        <v>#REF!</v>
      </c>
      <c r="CD40" t="e">
        <f>IF('Listado General'!#REF!,"AAAAAD9nLlE=",0)</f>
        <v>#REF!</v>
      </c>
      <c r="CE40" t="e">
        <f>AND('Listado General'!#REF!,"AAAAAD9nLlI=")</f>
        <v>#REF!</v>
      </c>
      <c r="CF40" t="e">
        <f>AND('Listado General'!#REF!,"AAAAAD9nLlM=")</f>
        <v>#REF!</v>
      </c>
      <c r="CG40" t="e">
        <f>AND('Listado General'!#REF!,"AAAAAD9nLlQ=")</f>
        <v>#REF!</v>
      </c>
      <c r="CH40" t="e">
        <f>AND('Listado General'!#REF!,"AAAAAD9nLlU=")</f>
        <v>#REF!</v>
      </c>
      <c r="CI40" t="e">
        <f>AND('Listado General'!#REF!,"AAAAAD9nLlY=")</f>
        <v>#REF!</v>
      </c>
      <c r="CJ40" t="e">
        <f>AND('Listado General'!#REF!,"AAAAAD9nLlc=")</f>
        <v>#REF!</v>
      </c>
      <c r="CK40" t="e">
        <f>AND('Listado General'!#REF!,"AAAAAD9nLlg=")</f>
        <v>#REF!</v>
      </c>
      <c r="CL40" t="e">
        <f>AND('Listado General'!#REF!,"AAAAAD9nLlk=")</f>
        <v>#REF!</v>
      </c>
      <c r="CM40" t="e">
        <f>AND('Listado General'!#REF!,"AAAAAD9nLlo=")</f>
        <v>#REF!</v>
      </c>
      <c r="CN40" t="e">
        <f>IF('Listado General'!#REF!,"AAAAAD9nLls=",0)</f>
        <v>#REF!</v>
      </c>
      <c r="CO40" t="e">
        <f>AND('Listado General'!#REF!,"AAAAAD9nLlw=")</f>
        <v>#REF!</v>
      </c>
      <c r="CP40" t="e">
        <f>AND('Listado General'!#REF!,"AAAAAD9nLl0=")</f>
        <v>#REF!</v>
      </c>
      <c r="CQ40" t="e">
        <f>AND('Listado General'!#REF!,"AAAAAD9nLl4=")</f>
        <v>#REF!</v>
      </c>
      <c r="CR40" t="e">
        <f>AND('Listado General'!#REF!,"AAAAAD9nLl8=")</f>
        <v>#REF!</v>
      </c>
      <c r="CS40" t="e">
        <f>AND('Listado General'!#REF!,"AAAAAD9nLmA=")</f>
        <v>#REF!</v>
      </c>
      <c r="CT40" t="e">
        <f>AND('Listado General'!#REF!,"AAAAAD9nLmE=")</f>
        <v>#REF!</v>
      </c>
      <c r="CU40" t="e">
        <f>AND('Listado General'!#REF!,"AAAAAD9nLmI=")</f>
        <v>#REF!</v>
      </c>
      <c r="CV40" t="e">
        <f>AND('Listado General'!#REF!,"AAAAAD9nLmM=")</f>
        <v>#REF!</v>
      </c>
      <c r="CW40" t="e">
        <f>AND('Listado General'!#REF!,"AAAAAD9nLmQ=")</f>
        <v>#REF!</v>
      </c>
      <c r="CX40" t="e">
        <f>IF('Listado General'!#REF!,"AAAAAD9nLmU=",0)</f>
        <v>#REF!</v>
      </c>
      <c r="CY40" t="e">
        <f>AND('Listado General'!#REF!,"AAAAAD9nLmY=")</f>
        <v>#REF!</v>
      </c>
      <c r="CZ40" t="e">
        <f>AND('Listado General'!#REF!,"AAAAAD9nLmc=")</f>
        <v>#REF!</v>
      </c>
      <c r="DA40" t="e">
        <f>AND('Listado General'!#REF!,"AAAAAD9nLmg=")</f>
        <v>#REF!</v>
      </c>
      <c r="DB40" t="e">
        <f>AND('Listado General'!#REF!,"AAAAAD9nLmk=")</f>
        <v>#REF!</v>
      </c>
      <c r="DC40" t="e">
        <f>AND('Listado General'!#REF!,"AAAAAD9nLmo=")</f>
        <v>#REF!</v>
      </c>
      <c r="DD40" t="e">
        <f>AND('Listado General'!#REF!,"AAAAAD9nLms=")</f>
        <v>#REF!</v>
      </c>
      <c r="DE40" t="e">
        <f>AND('Listado General'!#REF!,"AAAAAD9nLmw=")</f>
        <v>#REF!</v>
      </c>
      <c r="DF40" t="e">
        <f>AND('Listado General'!#REF!,"AAAAAD9nLm0=")</f>
        <v>#REF!</v>
      </c>
      <c r="DG40" t="e">
        <f>AND('Listado General'!#REF!,"AAAAAD9nLm4=")</f>
        <v>#REF!</v>
      </c>
      <c r="DH40" t="e">
        <f>IF('Listado General'!#REF!,"AAAAAD9nLm8=",0)</f>
        <v>#REF!</v>
      </c>
      <c r="DI40" t="e">
        <f>AND('Listado General'!#REF!,"AAAAAD9nLnA=")</f>
        <v>#REF!</v>
      </c>
      <c r="DJ40" t="e">
        <f>AND('Listado General'!#REF!,"AAAAAD9nLnE=")</f>
        <v>#REF!</v>
      </c>
      <c r="DK40" t="e">
        <f>AND('Listado General'!#REF!,"AAAAAD9nLnI=")</f>
        <v>#REF!</v>
      </c>
      <c r="DL40" t="e">
        <f>AND('Listado General'!#REF!,"AAAAAD9nLnM=")</f>
        <v>#REF!</v>
      </c>
      <c r="DM40" t="e">
        <f>AND('Listado General'!#REF!,"AAAAAD9nLnQ=")</f>
        <v>#REF!</v>
      </c>
      <c r="DN40" t="e">
        <f>AND('Listado General'!#REF!,"AAAAAD9nLnU=")</f>
        <v>#REF!</v>
      </c>
      <c r="DO40" t="e">
        <f>AND('Listado General'!#REF!,"AAAAAD9nLnY=")</f>
        <v>#REF!</v>
      </c>
      <c r="DP40" t="e">
        <f>AND('Listado General'!#REF!,"AAAAAD9nLnc=")</f>
        <v>#REF!</v>
      </c>
      <c r="DQ40" t="e">
        <f>AND('Listado General'!#REF!,"AAAAAD9nLng=")</f>
        <v>#REF!</v>
      </c>
      <c r="DR40" t="e">
        <f>IF('Listado General'!#REF!,"AAAAAD9nLnk=",0)</f>
        <v>#REF!</v>
      </c>
      <c r="DS40" t="e">
        <f>AND('Listado General'!#REF!,"AAAAAD9nLno=")</f>
        <v>#REF!</v>
      </c>
      <c r="DT40" t="e">
        <f>AND('Listado General'!#REF!,"AAAAAD9nLns=")</f>
        <v>#REF!</v>
      </c>
      <c r="DU40" t="e">
        <f>AND('Listado General'!#REF!,"AAAAAD9nLnw=")</f>
        <v>#REF!</v>
      </c>
      <c r="DV40" t="e">
        <f>AND('Listado General'!#REF!,"AAAAAD9nLn0=")</f>
        <v>#REF!</v>
      </c>
      <c r="DW40" t="e">
        <f>AND('Listado General'!#REF!,"AAAAAD9nLn4=")</f>
        <v>#REF!</v>
      </c>
      <c r="DX40" t="e">
        <f>AND('Listado General'!#REF!,"AAAAAD9nLn8=")</f>
        <v>#REF!</v>
      </c>
      <c r="DY40" t="e">
        <f>AND('Listado General'!#REF!,"AAAAAD9nLoA=")</f>
        <v>#REF!</v>
      </c>
      <c r="DZ40" t="e">
        <f>AND('Listado General'!#REF!,"AAAAAD9nLoE=")</f>
        <v>#REF!</v>
      </c>
      <c r="EA40" t="e">
        <f>AND('Listado General'!#REF!,"AAAAAD9nLoI=")</f>
        <v>#REF!</v>
      </c>
      <c r="EB40" t="e">
        <f>IF('Listado General'!#REF!,"AAAAAD9nLoM=",0)</f>
        <v>#REF!</v>
      </c>
      <c r="EC40" t="e">
        <f>AND('Listado General'!#REF!,"AAAAAD9nLoQ=")</f>
        <v>#REF!</v>
      </c>
      <c r="ED40" t="e">
        <f>AND('Listado General'!#REF!,"AAAAAD9nLoU=")</f>
        <v>#REF!</v>
      </c>
      <c r="EE40" t="e">
        <f>AND('Listado General'!#REF!,"AAAAAD9nLoY=")</f>
        <v>#REF!</v>
      </c>
      <c r="EF40" t="e">
        <f>AND('Listado General'!#REF!,"AAAAAD9nLoc=")</f>
        <v>#REF!</v>
      </c>
      <c r="EG40" t="e">
        <f>AND('Listado General'!#REF!,"AAAAAD9nLog=")</f>
        <v>#REF!</v>
      </c>
      <c r="EH40" t="e">
        <f>AND('Listado General'!#REF!,"AAAAAD9nLok=")</f>
        <v>#REF!</v>
      </c>
      <c r="EI40" t="e">
        <f>AND('Listado General'!#REF!,"AAAAAD9nLoo=")</f>
        <v>#REF!</v>
      </c>
      <c r="EJ40" t="e">
        <f>AND('Listado General'!#REF!,"AAAAAD9nLos=")</f>
        <v>#REF!</v>
      </c>
      <c r="EK40" t="e">
        <f>AND('Listado General'!#REF!,"AAAAAD9nLow=")</f>
        <v>#REF!</v>
      </c>
      <c r="EL40" t="e">
        <f>IF('Listado General'!#REF!,"AAAAAD9nLo0=",0)</f>
        <v>#REF!</v>
      </c>
      <c r="EM40" t="e">
        <f>AND('Listado General'!#REF!,"AAAAAD9nLo4=")</f>
        <v>#REF!</v>
      </c>
      <c r="EN40" t="e">
        <f>AND('Listado General'!#REF!,"AAAAAD9nLo8=")</f>
        <v>#REF!</v>
      </c>
      <c r="EO40" t="e">
        <f>AND('Listado General'!#REF!,"AAAAAD9nLpA=")</f>
        <v>#REF!</v>
      </c>
      <c r="EP40" t="e">
        <f>AND('Listado General'!#REF!,"AAAAAD9nLpE=")</f>
        <v>#REF!</v>
      </c>
      <c r="EQ40" t="e">
        <f>AND('Listado General'!#REF!,"AAAAAD9nLpI=")</f>
        <v>#REF!</v>
      </c>
      <c r="ER40" t="e">
        <f>AND('Listado General'!#REF!,"AAAAAD9nLpM=")</f>
        <v>#REF!</v>
      </c>
      <c r="ES40" t="e">
        <f>AND('Listado General'!#REF!,"AAAAAD9nLpQ=")</f>
        <v>#REF!</v>
      </c>
      <c r="ET40" t="e">
        <f>AND('Listado General'!#REF!,"AAAAAD9nLpU=")</f>
        <v>#REF!</v>
      </c>
      <c r="EU40" t="e">
        <f>AND('Listado General'!#REF!,"AAAAAD9nLpY=")</f>
        <v>#REF!</v>
      </c>
      <c r="EV40" t="e">
        <f>IF('Listado General'!#REF!,"AAAAAD9nLpc=",0)</f>
        <v>#REF!</v>
      </c>
      <c r="EW40" t="e">
        <f>AND('Listado General'!#REF!,"AAAAAD9nLpg=")</f>
        <v>#REF!</v>
      </c>
      <c r="EX40" t="e">
        <f>AND('Listado General'!#REF!,"AAAAAD9nLpk=")</f>
        <v>#REF!</v>
      </c>
      <c r="EY40" t="e">
        <f>AND('Listado General'!#REF!,"AAAAAD9nLpo=")</f>
        <v>#REF!</v>
      </c>
      <c r="EZ40" t="e">
        <f>AND('Listado General'!#REF!,"AAAAAD9nLps=")</f>
        <v>#REF!</v>
      </c>
      <c r="FA40" t="e">
        <f>AND('Listado General'!#REF!,"AAAAAD9nLpw=")</f>
        <v>#REF!</v>
      </c>
      <c r="FB40" t="e">
        <f>AND('Listado General'!#REF!,"AAAAAD9nLp0=")</f>
        <v>#REF!</v>
      </c>
      <c r="FC40" t="e">
        <f>AND('Listado General'!#REF!,"AAAAAD9nLp4=")</f>
        <v>#REF!</v>
      </c>
      <c r="FD40" t="e">
        <f>AND('Listado General'!#REF!,"AAAAAD9nLp8=")</f>
        <v>#REF!</v>
      </c>
      <c r="FE40" t="e">
        <f>AND('Listado General'!#REF!,"AAAAAD9nLqA=")</f>
        <v>#REF!</v>
      </c>
      <c r="FF40" t="e">
        <f>IF('Listado General'!#REF!,"AAAAAD9nLqE=",0)</f>
        <v>#REF!</v>
      </c>
      <c r="FG40" t="e">
        <f>AND('Listado General'!#REF!,"AAAAAD9nLqI=")</f>
        <v>#REF!</v>
      </c>
      <c r="FH40" t="e">
        <f>AND('Listado General'!#REF!,"AAAAAD9nLqM=")</f>
        <v>#REF!</v>
      </c>
      <c r="FI40" t="e">
        <f>AND('Listado General'!#REF!,"AAAAAD9nLqQ=")</f>
        <v>#REF!</v>
      </c>
      <c r="FJ40" t="e">
        <f>AND('Listado General'!#REF!,"AAAAAD9nLqU=")</f>
        <v>#REF!</v>
      </c>
      <c r="FK40" t="e">
        <f>AND('Listado General'!#REF!,"AAAAAD9nLqY=")</f>
        <v>#REF!</v>
      </c>
      <c r="FL40" t="e">
        <f>AND('Listado General'!#REF!,"AAAAAD9nLqc=")</f>
        <v>#REF!</v>
      </c>
      <c r="FM40" t="e">
        <f>AND('Listado General'!#REF!,"AAAAAD9nLqg=")</f>
        <v>#REF!</v>
      </c>
      <c r="FN40" t="e">
        <f>AND('Listado General'!#REF!,"AAAAAD9nLqk=")</f>
        <v>#REF!</v>
      </c>
      <c r="FO40" t="e">
        <f>AND('Listado General'!#REF!,"AAAAAD9nLqo=")</f>
        <v>#REF!</v>
      </c>
      <c r="FP40" t="e">
        <f>IF('Listado General'!#REF!,"AAAAAD9nLqs=",0)</f>
        <v>#REF!</v>
      </c>
      <c r="FQ40" t="e">
        <f>AND('Listado General'!#REF!,"AAAAAD9nLqw=")</f>
        <v>#REF!</v>
      </c>
      <c r="FR40" t="e">
        <f>AND('Listado General'!#REF!,"AAAAAD9nLq0=")</f>
        <v>#REF!</v>
      </c>
      <c r="FS40" t="e">
        <f>AND('Listado General'!#REF!,"AAAAAD9nLq4=")</f>
        <v>#REF!</v>
      </c>
      <c r="FT40" t="e">
        <f>AND('Listado General'!#REF!,"AAAAAD9nLq8=")</f>
        <v>#REF!</v>
      </c>
      <c r="FU40" t="e">
        <f>AND('Listado General'!#REF!,"AAAAAD9nLrA=")</f>
        <v>#REF!</v>
      </c>
      <c r="FV40" t="e">
        <f>AND('Listado General'!#REF!,"AAAAAD9nLrE=")</f>
        <v>#REF!</v>
      </c>
      <c r="FW40" t="e">
        <f>AND('Listado General'!#REF!,"AAAAAD9nLrI=")</f>
        <v>#REF!</v>
      </c>
      <c r="FX40" t="e">
        <f>AND('Listado General'!#REF!,"AAAAAD9nLrM=")</f>
        <v>#REF!</v>
      </c>
      <c r="FY40" t="e">
        <f>AND('Listado General'!#REF!,"AAAAAD9nLrQ=")</f>
        <v>#REF!</v>
      </c>
      <c r="FZ40" t="e">
        <f>IF('Listado General'!#REF!,"AAAAAD9nLrU=",0)</f>
        <v>#REF!</v>
      </c>
      <c r="GA40" t="e">
        <f>AND('Listado General'!#REF!,"AAAAAD9nLrY=")</f>
        <v>#REF!</v>
      </c>
      <c r="GB40" t="e">
        <f>AND('Listado General'!#REF!,"AAAAAD9nLrc=")</f>
        <v>#REF!</v>
      </c>
      <c r="GC40" t="e">
        <f>AND('Listado General'!#REF!,"AAAAAD9nLrg=")</f>
        <v>#REF!</v>
      </c>
      <c r="GD40" t="e">
        <f>AND('Listado General'!#REF!,"AAAAAD9nLrk=")</f>
        <v>#REF!</v>
      </c>
      <c r="GE40" t="e">
        <f>AND('Listado General'!#REF!,"AAAAAD9nLro=")</f>
        <v>#REF!</v>
      </c>
      <c r="GF40" t="e">
        <f>AND('Listado General'!#REF!,"AAAAAD9nLrs=")</f>
        <v>#REF!</v>
      </c>
      <c r="GG40" t="e">
        <f>AND('Listado General'!#REF!,"AAAAAD9nLrw=")</f>
        <v>#REF!</v>
      </c>
      <c r="GH40" t="e">
        <f>AND('Listado General'!#REF!,"AAAAAD9nLr0=")</f>
        <v>#REF!</v>
      </c>
      <c r="GI40" t="e">
        <f>AND('Listado General'!#REF!,"AAAAAD9nLr4=")</f>
        <v>#REF!</v>
      </c>
      <c r="GJ40" t="e">
        <f>IF('Listado General'!#REF!,"AAAAAD9nLr8=",0)</f>
        <v>#REF!</v>
      </c>
      <c r="GK40" t="e">
        <f>AND('Listado General'!#REF!,"AAAAAD9nLsA=")</f>
        <v>#REF!</v>
      </c>
      <c r="GL40" t="e">
        <f>AND('Listado General'!#REF!,"AAAAAD9nLsE=")</f>
        <v>#REF!</v>
      </c>
      <c r="GM40" t="e">
        <f>AND('Listado General'!#REF!,"AAAAAD9nLsI=")</f>
        <v>#REF!</v>
      </c>
      <c r="GN40" t="e">
        <f>AND('Listado General'!#REF!,"AAAAAD9nLsM=")</f>
        <v>#REF!</v>
      </c>
      <c r="GO40" t="e">
        <f>AND('Listado General'!#REF!,"AAAAAD9nLsQ=")</f>
        <v>#REF!</v>
      </c>
      <c r="GP40" t="e">
        <f>AND('Listado General'!#REF!,"AAAAAD9nLsU=")</f>
        <v>#REF!</v>
      </c>
      <c r="GQ40" t="e">
        <f>AND('Listado General'!#REF!,"AAAAAD9nLsY=")</f>
        <v>#REF!</v>
      </c>
      <c r="GR40" t="e">
        <f>AND('Listado General'!#REF!,"AAAAAD9nLsc=")</f>
        <v>#REF!</v>
      </c>
      <c r="GS40" t="e">
        <f>AND('Listado General'!#REF!,"AAAAAD9nLsg=")</f>
        <v>#REF!</v>
      </c>
      <c r="GT40" t="e">
        <f>IF('Listado General'!#REF!,"AAAAAD9nLsk=",0)</f>
        <v>#REF!</v>
      </c>
      <c r="GU40" t="e">
        <f>AND('Listado General'!#REF!,"AAAAAD9nLso=")</f>
        <v>#REF!</v>
      </c>
      <c r="GV40" t="e">
        <f>AND('Listado General'!#REF!,"AAAAAD9nLss=")</f>
        <v>#REF!</v>
      </c>
      <c r="GW40" t="e">
        <f>AND('Listado General'!#REF!,"AAAAAD9nLsw=")</f>
        <v>#REF!</v>
      </c>
      <c r="GX40" t="e">
        <f>AND('Listado General'!#REF!,"AAAAAD9nLs0=")</f>
        <v>#REF!</v>
      </c>
      <c r="GY40" t="e">
        <f>AND('Listado General'!#REF!,"AAAAAD9nLs4=")</f>
        <v>#REF!</v>
      </c>
      <c r="GZ40" t="e">
        <f>AND('Listado General'!#REF!,"AAAAAD9nLs8=")</f>
        <v>#REF!</v>
      </c>
      <c r="HA40" t="e">
        <f>AND('Listado General'!#REF!,"AAAAAD9nLtA=")</f>
        <v>#REF!</v>
      </c>
      <c r="HB40" t="e">
        <f>AND('Listado General'!#REF!,"AAAAAD9nLtE=")</f>
        <v>#REF!</v>
      </c>
      <c r="HC40" t="e">
        <f>AND('Listado General'!#REF!,"AAAAAD9nLtI=")</f>
        <v>#REF!</v>
      </c>
      <c r="HD40" t="e">
        <f>IF('Listado General'!#REF!,"AAAAAD9nLtM=",0)</f>
        <v>#REF!</v>
      </c>
      <c r="HE40" t="e">
        <f>AND('Listado General'!#REF!,"AAAAAD9nLtQ=")</f>
        <v>#REF!</v>
      </c>
      <c r="HF40" t="e">
        <f>AND('Listado General'!#REF!,"AAAAAD9nLtU=")</f>
        <v>#REF!</v>
      </c>
      <c r="HG40" t="e">
        <f>AND('Listado General'!#REF!,"AAAAAD9nLtY=")</f>
        <v>#REF!</v>
      </c>
      <c r="HH40" t="e">
        <f>AND('Listado General'!#REF!,"AAAAAD9nLtc=")</f>
        <v>#REF!</v>
      </c>
      <c r="HI40" t="e">
        <f>AND('Listado General'!#REF!,"AAAAAD9nLtg=")</f>
        <v>#REF!</v>
      </c>
      <c r="HJ40" t="e">
        <f>AND('Listado General'!#REF!,"AAAAAD9nLtk=")</f>
        <v>#REF!</v>
      </c>
      <c r="HK40" t="e">
        <f>AND('Listado General'!#REF!,"AAAAAD9nLto=")</f>
        <v>#REF!</v>
      </c>
      <c r="HL40" t="e">
        <f>AND('Listado General'!#REF!,"AAAAAD9nLts=")</f>
        <v>#REF!</v>
      </c>
      <c r="HM40" t="e">
        <f>AND('Listado General'!#REF!,"AAAAAD9nLtw=")</f>
        <v>#REF!</v>
      </c>
      <c r="HN40" t="e">
        <f>IF('Listado General'!#REF!,"AAAAAD9nLt0=",0)</f>
        <v>#REF!</v>
      </c>
      <c r="HO40" t="e">
        <f>AND('Listado General'!#REF!,"AAAAAD9nLt4=")</f>
        <v>#REF!</v>
      </c>
      <c r="HP40" t="e">
        <f>AND('Listado General'!#REF!,"AAAAAD9nLt8=")</f>
        <v>#REF!</v>
      </c>
      <c r="HQ40" t="e">
        <f>AND('Listado General'!#REF!,"AAAAAD9nLuA=")</f>
        <v>#REF!</v>
      </c>
      <c r="HR40" t="e">
        <f>AND('Listado General'!#REF!,"AAAAAD9nLuE=")</f>
        <v>#REF!</v>
      </c>
      <c r="HS40" t="e">
        <f>AND('Listado General'!#REF!,"AAAAAD9nLuI=")</f>
        <v>#REF!</v>
      </c>
      <c r="HT40" t="e">
        <f>AND('Listado General'!#REF!,"AAAAAD9nLuM=")</f>
        <v>#REF!</v>
      </c>
      <c r="HU40" t="e">
        <f>AND('Listado General'!#REF!,"AAAAAD9nLuQ=")</f>
        <v>#REF!</v>
      </c>
      <c r="HV40" t="e">
        <f>AND('Listado General'!#REF!,"AAAAAD9nLuU=")</f>
        <v>#REF!</v>
      </c>
      <c r="HW40" t="e">
        <f>AND('Listado General'!#REF!,"AAAAAD9nLuY=")</f>
        <v>#REF!</v>
      </c>
      <c r="HX40" t="e">
        <f>IF('Listado General'!#REF!,"AAAAAD9nLuc=",0)</f>
        <v>#REF!</v>
      </c>
      <c r="HY40" t="e">
        <f>AND('Listado General'!#REF!,"AAAAAD9nLug=")</f>
        <v>#REF!</v>
      </c>
      <c r="HZ40" t="e">
        <f>AND('Listado General'!#REF!,"AAAAAD9nLuk=")</f>
        <v>#REF!</v>
      </c>
      <c r="IA40" t="e">
        <f>AND('Listado General'!#REF!,"AAAAAD9nLuo=")</f>
        <v>#REF!</v>
      </c>
      <c r="IB40" t="e">
        <f>AND('Listado General'!#REF!,"AAAAAD9nLus=")</f>
        <v>#REF!</v>
      </c>
      <c r="IC40" t="e">
        <f>AND('Listado General'!#REF!,"AAAAAD9nLuw=")</f>
        <v>#REF!</v>
      </c>
      <c r="ID40" t="e">
        <f>AND('Listado General'!#REF!,"AAAAAD9nLu0=")</f>
        <v>#REF!</v>
      </c>
      <c r="IE40" t="e">
        <f>AND('Listado General'!#REF!,"AAAAAD9nLu4=")</f>
        <v>#REF!</v>
      </c>
      <c r="IF40" t="e">
        <f>AND('Listado General'!#REF!,"AAAAAD9nLu8=")</f>
        <v>#REF!</v>
      </c>
      <c r="IG40" t="e">
        <f>AND('Listado General'!#REF!,"AAAAAD9nLvA=")</f>
        <v>#REF!</v>
      </c>
      <c r="IH40" t="e">
        <f>IF('Listado General'!#REF!,"AAAAAD9nLvE=",0)</f>
        <v>#REF!</v>
      </c>
      <c r="II40" t="e">
        <f>AND('Listado General'!#REF!,"AAAAAD9nLvI=")</f>
        <v>#REF!</v>
      </c>
      <c r="IJ40" t="e">
        <f>AND('Listado General'!#REF!,"AAAAAD9nLvM=")</f>
        <v>#REF!</v>
      </c>
      <c r="IK40" t="e">
        <f>AND('Listado General'!#REF!,"AAAAAD9nLvQ=")</f>
        <v>#REF!</v>
      </c>
      <c r="IL40" t="e">
        <f>AND('Listado General'!#REF!,"AAAAAD9nLvU=")</f>
        <v>#REF!</v>
      </c>
      <c r="IM40" t="e">
        <f>AND('Listado General'!#REF!,"AAAAAD9nLvY=")</f>
        <v>#REF!</v>
      </c>
      <c r="IN40" t="e">
        <f>AND('Listado General'!#REF!,"AAAAAD9nLvc=")</f>
        <v>#REF!</v>
      </c>
      <c r="IO40" t="e">
        <f>AND('Listado General'!#REF!,"AAAAAD9nLvg=")</f>
        <v>#REF!</v>
      </c>
      <c r="IP40" t="e">
        <f>AND('Listado General'!#REF!,"AAAAAD9nLvk=")</f>
        <v>#REF!</v>
      </c>
      <c r="IQ40" t="e">
        <f>AND('Listado General'!#REF!,"AAAAAD9nLvo=")</f>
        <v>#REF!</v>
      </c>
      <c r="IR40" t="e">
        <f>IF('Listado General'!#REF!,"AAAAAD9nLvs=",0)</f>
        <v>#REF!</v>
      </c>
      <c r="IS40" t="e">
        <f>AND('Listado General'!#REF!,"AAAAAD9nLvw=")</f>
        <v>#REF!</v>
      </c>
      <c r="IT40" t="e">
        <f>AND('Listado General'!#REF!,"AAAAAD9nLv0=")</f>
        <v>#REF!</v>
      </c>
      <c r="IU40" t="e">
        <f>AND('Listado General'!#REF!,"AAAAAD9nLv4=")</f>
        <v>#REF!</v>
      </c>
      <c r="IV40" t="e">
        <f>AND('Listado General'!#REF!,"AAAAAD9nLv8=")</f>
        <v>#REF!</v>
      </c>
    </row>
    <row r="41" spans="1:256" ht="12.75">
      <c r="A41" t="e">
        <f>AND('Listado General'!#REF!,"AAAAAH/aewA=")</f>
        <v>#REF!</v>
      </c>
      <c r="B41" t="e">
        <f>AND('Listado General'!#REF!,"AAAAAH/aewE=")</f>
        <v>#REF!</v>
      </c>
      <c r="C41" t="e">
        <f>AND('Listado General'!#REF!,"AAAAAH/aewI=")</f>
        <v>#REF!</v>
      </c>
      <c r="D41" t="e">
        <f>AND('Listado General'!#REF!,"AAAAAH/aewM=")</f>
        <v>#REF!</v>
      </c>
      <c r="E41" t="e">
        <f>AND('Listado General'!#REF!,"AAAAAH/aewQ=")</f>
        <v>#REF!</v>
      </c>
      <c r="F41" t="e">
        <f>IF('Listado General'!#REF!,"AAAAAH/aewU=",0)</f>
        <v>#REF!</v>
      </c>
      <c r="G41" t="e">
        <f>AND('Listado General'!#REF!,"AAAAAH/aewY=")</f>
        <v>#REF!</v>
      </c>
      <c r="H41" t="e">
        <f>AND('Listado General'!#REF!,"AAAAAH/aewc=")</f>
        <v>#REF!</v>
      </c>
      <c r="I41" t="e">
        <f>AND('Listado General'!#REF!,"AAAAAH/aewg=")</f>
        <v>#REF!</v>
      </c>
      <c r="J41" t="e">
        <f>AND('Listado General'!#REF!,"AAAAAH/aewk=")</f>
        <v>#REF!</v>
      </c>
      <c r="K41" t="e">
        <f>AND('Listado General'!#REF!,"AAAAAH/aewo=")</f>
        <v>#REF!</v>
      </c>
      <c r="L41" t="e">
        <f>AND('Listado General'!#REF!,"AAAAAH/aews=")</f>
        <v>#REF!</v>
      </c>
      <c r="M41" t="e">
        <f>AND('Listado General'!#REF!,"AAAAAH/aeww=")</f>
        <v>#REF!</v>
      </c>
      <c r="N41" t="e">
        <f>AND('Listado General'!#REF!,"AAAAAH/aew0=")</f>
        <v>#REF!</v>
      </c>
      <c r="O41" t="e">
        <f>AND('Listado General'!#REF!,"AAAAAH/aew4=")</f>
        <v>#REF!</v>
      </c>
      <c r="P41" t="e">
        <f>IF('Listado General'!#REF!,"AAAAAH/aew8=",0)</f>
        <v>#REF!</v>
      </c>
      <c r="Q41" t="e">
        <f>AND('Listado General'!#REF!,"AAAAAH/aexA=")</f>
        <v>#REF!</v>
      </c>
      <c r="R41" t="e">
        <f>AND('Listado General'!#REF!,"AAAAAH/aexE=")</f>
        <v>#REF!</v>
      </c>
      <c r="S41" t="e">
        <f>AND('Listado General'!#REF!,"AAAAAH/aexI=")</f>
        <v>#REF!</v>
      </c>
      <c r="T41" t="e">
        <f>AND('Listado General'!#REF!,"AAAAAH/aexM=")</f>
        <v>#REF!</v>
      </c>
      <c r="U41" t="e">
        <f>AND('Listado General'!#REF!,"AAAAAH/aexQ=")</f>
        <v>#REF!</v>
      </c>
      <c r="V41" t="e">
        <f>AND('Listado General'!#REF!,"AAAAAH/aexU=")</f>
        <v>#REF!</v>
      </c>
      <c r="W41" t="e">
        <f>AND('Listado General'!#REF!,"AAAAAH/aexY=")</f>
        <v>#REF!</v>
      </c>
      <c r="X41" t="e">
        <f>AND('Listado General'!#REF!,"AAAAAH/aexc=")</f>
        <v>#REF!</v>
      </c>
      <c r="Y41" t="e">
        <f>AND('Listado General'!#REF!,"AAAAAH/aexg=")</f>
        <v>#REF!</v>
      </c>
      <c r="Z41" t="e">
        <f>IF('Listado General'!#REF!,"AAAAAH/aexk=",0)</f>
        <v>#REF!</v>
      </c>
      <c r="AA41" t="e">
        <f>AND('Listado General'!#REF!,"AAAAAH/aexo=")</f>
        <v>#REF!</v>
      </c>
      <c r="AB41" t="e">
        <f>AND('Listado General'!#REF!,"AAAAAH/aexs=")</f>
        <v>#REF!</v>
      </c>
      <c r="AC41" t="e">
        <f>AND('Listado General'!#REF!,"AAAAAH/aexw=")</f>
        <v>#REF!</v>
      </c>
      <c r="AD41" t="e">
        <f>AND('Listado General'!#REF!,"AAAAAH/aex0=")</f>
        <v>#REF!</v>
      </c>
      <c r="AE41" t="e">
        <f>AND('Listado General'!#REF!,"AAAAAH/aex4=")</f>
        <v>#REF!</v>
      </c>
      <c r="AF41" t="e">
        <f>AND('Listado General'!#REF!,"AAAAAH/aex8=")</f>
        <v>#REF!</v>
      </c>
      <c r="AG41" t="e">
        <f>AND('Listado General'!#REF!,"AAAAAH/aeyA=")</f>
        <v>#REF!</v>
      </c>
      <c r="AH41" t="e">
        <f>AND('Listado General'!#REF!,"AAAAAH/aeyE=")</f>
        <v>#REF!</v>
      </c>
      <c r="AI41" t="e">
        <f>AND('Listado General'!#REF!,"AAAAAH/aeyI=")</f>
        <v>#REF!</v>
      </c>
      <c r="AJ41" t="e">
        <f>IF('Listado General'!#REF!,"AAAAAH/aeyM=",0)</f>
        <v>#REF!</v>
      </c>
      <c r="AK41" t="e">
        <f>AND('Listado General'!#REF!,"AAAAAH/aeyQ=")</f>
        <v>#REF!</v>
      </c>
      <c r="AL41" t="e">
        <f>AND('Listado General'!#REF!,"AAAAAH/aeyU=")</f>
        <v>#REF!</v>
      </c>
      <c r="AM41" t="e">
        <f>AND('Listado General'!#REF!,"AAAAAH/aeyY=")</f>
        <v>#REF!</v>
      </c>
      <c r="AN41" t="e">
        <f>AND('Listado General'!#REF!,"AAAAAH/aeyc=")</f>
        <v>#REF!</v>
      </c>
      <c r="AO41" t="e">
        <f>AND('Listado General'!#REF!,"AAAAAH/aeyg=")</f>
        <v>#REF!</v>
      </c>
      <c r="AP41" t="e">
        <f>AND('Listado General'!#REF!,"AAAAAH/aeyk=")</f>
        <v>#REF!</v>
      </c>
      <c r="AQ41" t="e">
        <f>AND('Listado General'!#REF!,"AAAAAH/aeyo=")</f>
        <v>#REF!</v>
      </c>
      <c r="AR41" t="e">
        <f>AND('Listado General'!#REF!,"AAAAAH/aeys=")</f>
        <v>#REF!</v>
      </c>
      <c r="AS41" t="e">
        <f>AND('Listado General'!#REF!,"AAAAAH/aeyw=")</f>
        <v>#REF!</v>
      </c>
      <c r="AT41" t="e">
        <f>IF('Listado General'!#REF!,"AAAAAH/aey0=",0)</f>
        <v>#REF!</v>
      </c>
      <c r="AU41" t="e">
        <f>AND('Listado General'!#REF!,"AAAAAH/aey4=")</f>
        <v>#REF!</v>
      </c>
      <c r="AV41" t="e">
        <f>AND('Listado General'!#REF!,"AAAAAH/aey8=")</f>
        <v>#REF!</v>
      </c>
      <c r="AW41" t="e">
        <f>AND('Listado General'!#REF!,"AAAAAH/aezA=")</f>
        <v>#REF!</v>
      </c>
      <c r="AX41" t="e">
        <f>AND('Listado General'!#REF!,"AAAAAH/aezE=")</f>
        <v>#REF!</v>
      </c>
      <c r="AY41" t="e">
        <f>AND('Listado General'!#REF!,"AAAAAH/aezI=")</f>
        <v>#REF!</v>
      </c>
      <c r="AZ41" t="e">
        <f>AND('Listado General'!#REF!,"AAAAAH/aezM=")</f>
        <v>#REF!</v>
      </c>
      <c r="BA41" t="e">
        <f>AND('Listado General'!#REF!,"AAAAAH/aezQ=")</f>
        <v>#REF!</v>
      </c>
      <c r="BB41" t="e">
        <f>AND('Listado General'!#REF!,"AAAAAH/aezU=")</f>
        <v>#REF!</v>
      </c>
      <c r="BC41" t="e">
        <f>AND('Listado General'!#REF!,"AAAAAH/aezY=")</f>
        <v>#REF!</v>
      </c>
      <c r="BD41" t="e">
        <f>IF('Listado General'!#REF!,"AAAAAH/aezc=",0)</f>
        <v>#REF!</v>
      </c>
      <c r="BE41" t="e">
        <f>AND('Listado General'!#REF!,"AAAAAH/aezg=")</f>
        <v>#REF!</v>
      </c>
      <c r="BF41" t="e">
        <f>AND('Listado General'!#REF!,"AAAAAH/aezk=")</f>
        <v>#REF!</v>
      </c>
      <c r="BG41" t="e">
        <f>AND('Listado General'!#REF!,"AAAAAH/aezo=")</f>
        <v>#REF!</v>
      </c>
      <c r="BH41" t="e">
        <f>AND('Listado General'!#REF!,"AAAAAH/aezs=")</f>
        <v>#REF!</v>
      </c>
      <c r="BI41" t="e">
        <f>AND('Listado General'!#REF!,"AAAAAH/aezw=")</f>
        <v>#REF!</v>
      </c>
      <c r="BJ41" t="e">
        <f>AND('Listado General'!#REF!,"AAAAAH/aez0=")</f>
        <v>#REF!</v>
      </c>
      <c r="BK41" t="e">
        <f>AND('Listado General'!#REF!,"AAAAAH/aez4=")</f>
        <v>#REF!</v>
      </c>
      <c r="BL41" t="e">
        <f>AND('Listado General'!#REF!,"AAAAAH/aez8=")</f>
        <v>#REF!</v>
      </c>
      <c r="BM41" t="e">
        <f>AND('Listado General'!#REF!,"AAAAAH/ae0A=")</f>
        <v>#REF!</v>
      </c>
      <c r="BN41" t="e">
        <f>IF('Listado General'!#REF!,"AAAAAH/ae0E=",0)</f>
        <v>#REF!</v>
      </c>
      <c r="BO41" t="e">
        <f>AND('Listado General'!#REF!,"AAAAAH/ae0I=")</f>
        <v>#REF!</v>
      </c>
      <c r="BP41" t="e">
        <f>AND('Listado General'!#REF!,"AAAAAH/ae0M=")</f>
        <v>#REF!</v>
      </c>
      <c r="BQ41" t="e">
        <f>AND('Listado General'!#REF!,"AAAAAH/ae0Q=")</f>
        <v>#REF!</v>
      </c>
      <c r="BR41" t="e">
        <f>AND('Listado General'!#REF!,"AAAAAH/ae0U=")</f>
        <v>#REF!</v>
      </c>
      <c r="BS41" t="e">
        <f>AND('Listado General'!#REF!,"AAAAAH/ae0Y=")</f>
        <v>#REF!</v>
      </c>
      <c r="BT41" t="e">
        <f>AND('Listado General'!#REF!,"AAAAAH/ae0c=")</f>
        <v>#REF!</v>
      </c>
      <c r="BU41" t="e">
        <f>AND('Listado General'!#REF!,"AAAAAH/ae0g=")</f>
        <v>#REF!</v>
      </c>
      <c r="BV41" t="e">
        <f>AND('Listado General'!#REF!,"AAAAAH/ae0k=")</f>
        <v>#REF!</v>
      </c>
      <c r="BW41" t="e">
        <f>AND('Listado General'!#REF!,"AAAAAH/ae0o=")</f>
        <v>#REF!</v>
      </c>
      <c r="BX41" t="e">
        <f>IF('Listado General'!#REF!,"AAAAAH/ae0s=",0)</f>
        <v>#REF!</v>
      </c>
      <c r="BY41" t="e">
        <f>AND('Listado General'!#REF!,"AAAAAH/ae0w=")</f>
        <v>#REF!</v>
      </c>
      <c r="BZ41" t="e">
        <f>AND('Listado General'!#REF!,"AAAAAH/ae00=")</f>
        <v>#REF!</v>
      </c>
      <c r="CA41" t="e">
        <f>AND('Listado General'!#REF!,"AAAAAH/ae04=")</f>
        <v>#REF!</v>
      </c>
      <c r="CB41" t="e">
        <f>AND('Listado General'!#REF!,"AAAAAH/ae08=")</f>
        <v>#REF!</v>
      </c>
      <c r="CC41" t="e">
        <f>AND('Listado General'!#REF!,"AAAAAH/ae1A=")</f>
        <v>#REF!</v>
      </c>
      <c r="CD41" t="e">
        <f>AND('Listado General'!#REF!,"AAAAAH/ae1E=")</f>
        <v>#REF!</v>
      </c>
      <c r="CE41" t="e">
        <f>AND('Listado General'!#REF!,"AAAAAH/ae1I=")</f>
        <v>#REF!</v>
      </c>
      <c r="CF41" t="e">
        <f>AND('Listado General'!#REF!,"AAAAAH/ae1M=")</f>
        <v>#REF!</v>
      </c>
      <c r="CG41" t="e">
        <f>AND('Listado General'!#REF!,"AAAAAH/ae1Q=")</f>
        <v>#REF!</v>
      </c>
      <c r="CH41" t="e">
        <f>IF('Listado General'!#REF!,"AAAAAH/ae1U=",0)</f>
        <v>#REF!</v>
      </c>
      <c r="CI41" t="e">
        <f>AND('Listado General'!#REF!,"AAAAAH/ae1Y=")</f>
        <v>#REF!</v>
      </c>
      <c r="CJ41" t="e">
        <f>AND('Listado General'!#REF!,"AAAAAH/ae1c=")</f>
        <v>#REF!</v>
      </c>
      <c r="CK41" t="e">
        <f>AND('Listado General'!#REF!,"AAAAAH/ae1g=")</f>
        <v>#REF!</v>
      </c>
      <c r="CL41" t="e">
        <f>AND('Listado General'!#REF!,"AAAAAH/ae1k=")</f>
        <v>#REF!</v>
      </c>
      <c r="CM41" t="e">
        <f>AND('Listado General'!#REF!,"AAAAAH/ae1o=")</f>
        <v>#REF!</v>
      </c>
      <c r="CN41" t="e">
        <f>AND('Listado General'!#REF!,"AAAAAH/ae1s=")</f>
        <v>#REF!</v>
      </c>
      <c r="CO41" t="e">
        <f>AND('Listado General'!#REF!,"AAAAAH/ae1w=")</f>
        <v>#REF!</v>
      </c>
      <c r="CP41" t="e">
        <f>AND('Listado General'!#REF!,"AAAAAH/ae10=")</f>
        <v>#REF!</v>
      </c>
      <c r="CQ41" t="e">
        <f>AND('Listado General'!#REF!,"AAAAAH/ae14=")</f>
        <v>#REF!</v>
      </c>
      <c r="CR41" t="e">
        <f>IF('Listado General'!#REF!,"AAAAAH/ae18=",0)</f>
        <v>#REF!</v>
      </c>
      <c r="CS41" t="e">
        <f>AND('Listado General'!#REF!,"AAAAAH/ae2A=")</f>
        <v>#REF!</v>
      </c>
      <c r="CT41" t="e">
        <f>AND('Listado General'!#REF!,"AAAAAH/ae2E=")</f>
        <v>#REF!</v>
      </c>
      <c r="CU41" t="e">
        <f>AND('Listado General'!#REF!,"AAAAAH/ae2I=")</f>
        <v>#REF!</v>
      </c>
      <c r="CV41" t="e">
        <f>AND('Listado General'!#REF!,"AAAAAH/ae2M=")</f>
        <v>#REF!</v>
      </c>
      <c r="CW41" t="e">
        <f>AND('Listado General'!#REF!,"AAAAAH/ae2Q=")</f>
        <v>#REF!</v>
      </c>
      <c r="CX41" t="e">
        <f>AND('Listado General'!#REF!,"AAAAAH/ae2U=")</f>
        <v>#REF!</v>
      </c>
      <c r="CY41" t="e">
        <f>AND('Listado General'!#REF!,"AAAAAH/ae2Y=")</f>
        <v>#REF!</v>
      </c>
      <c r="CZ41" t="e">
        <f>AND('Listado General'!#REF!,"AAAAAH/ae2c=")</f>
        <v>#REF!</v>
      </c>
      <c r="DA41" t="e">
        <f>AND('Listado General'!#REF!,"AAAAAH/ae2g=")</f>
        <v>#REF!</v>
      </c>
      <c r="DB41" t="e">
        <f>IF('Listado General'!#REF!,"AAAAAH/ae2k=",0)</f>
        <v>#REF!</v>
      </c>
      <c r="DC41" t="e">
        <f>AND('Listado General'!#REF!,"AAAAAH/ae2o=")</f>
        <v>#REF!</v>
      </c>
      <c r="DD41" t="e">
        <f>AND('Listado General'!#REF!,"AAAAAH/ae2s=")</f>
        <v>#REF!</v>
      </c>
      <c r="DE41" t="e">
        <f>AND('Listado General'!#REF!,"AAAAAH/ae2w=")</f>
        <v>#REF!</v>
      </c>
      <c r="DF41" t="e">
        <f>AND('Listado General'!#REF!,"AAAAAH/ae20=")</f>
        <v>#REF!</v>
      </c>
      <c r="DG41" t="e">
        <f>AND('Listado General'!#REF!,"AAAAAH/ae24=")</f>
        <v>#REF!</v>
      </c>
      <c r="DH41" t="e">
        <f>AND('Listado General'!#REF!,"AAAAAH/ae28=")</f>
        <v>#REF!</v>
      </c>
      <c r="DI41" t="e">
        <f>AND('Listado General'!#REF!,"AAAAAH/ae3A=")</f>
        <v>#REF!</v>
      </c>
      <c r="DJ41" t="e">
        <f>AND('Listado General'!#REF!,"AAAAAH/ae3E=")</f>
        <v>#REF!</v>
      </c>
      <c r="DK41" t="e">
        <f>AND('Listado General'!#REF!,"AAAAAH/ae3I=")</f>
        <v>#REF!</v>
      </c>
      <c r="DL41" t="e">
        <f>IF('Listado General'!#REF!,"AAAAAH/ae3M=",0)</f>
        <v>#REF!</v>
      </c>
      <c r="DM41" t="e">
        <f>AND('Listado General'!#REF!,"AAAAAH/ae3Q=")</f>
        <v>#REF!</v>
      </c>
      <c r="DN41" t="e">
        <f>AND('Listado General'!#REF!,"AAAAAH/ae3U=")</f>
        <v>#REF!</v>
      </c>
      <c r="DO41" t="e">
        <f>AND('Listado General'!#REF!,"AAAAAH/ae3Y=")</f>
        <v>#REF!</v>
      </c>
      <c r="DP41" t="e">
        <f>AND('Listado General'!#REF!,"AAAAAH/ae3c=")</f>
        <v>#REF!</v>
      </c>
      <c r="DQ41" t="e">
        <f>AND('Listado General'!#REF!,"AAAAAH/ae3g=")</f>
        <v>#REF!</v>
      </c>
      <c r="DR41" t="e">
        <f>AND('Listado General'!#REF!,"AAAAAH/ae3k=")</f>
        <v>#REF!</v>
      </c>
      <c r="DS41" t="e">
        <f>AND('Listado General'!#REF!,"AAAAAH/ae3o=")</f>
        <v>#REF!</v>
      </c>
      <c r="DT41" t="e">
        <f>AND('Listado General'!#REF!,"AAAAAH/ae3s=")</f>
        <v>#REF!</v>
      </c>
      <c r="DU41" t="e">
        <f>AND('Listado General'!#REF!,"AAAAAH/ae3w=")</f>
        <v>#REF!</v>
      </c>
      <c r="DV41" t="e">
        <f>IF('Listado General'!#REF!,"AAAAAH/ae30=",0)</f>
        <v>#REF!</v>
      </c>
      <c r="DW41" t="e">
        <f>AND('Listado General'!#REF!,"AAAAAH/ae34=")</f>
        <v>#REF!</v>
      </c>
      <c r="DX41" t="e">
        <f>AND('Listado General'!#REF!,"AAAAAH/ae38=")</f>
        <v>#REF!</v>
      </c>
      <c r="DY41" t="e">
        <f>AND('Listado General'!#REF!,"AAAAAH/ae4A=")</f>
        <v>#REF!</v>
      </c>
      <c r="DZ41" t="e">
        <f>AND('Listado General'!#REF!,"AAAAAH/ae4E=")</f>
        <v>#REF!</v>
      </c>
      <c r="EA41" t="e">
        <f>AND('Listado General'!#REF!,"AAAAAH/ae4I=")</f>
        <v>#REF!</v>
      </c>
      <c r="EB41" t="e">
        <f>AND('Listado General'!#REF!,"AAAAAH/ae4M=")</f>
        <v>#REF!</v>
      </c>
      <c r="EC41" t="e">
        <f>AND('Listado General'!#REF!,"AAAAAH/ae4Q=")</f>
        <v>#REF!</v>
      </c>
      <c r="ED41" t="e">
        <f>AND('Listado General'!#REF!,"AAAAAH/ae4U=")</f>
        <v>#REF!</v>
      </c>
      <c r="EE41" t="e">
        <f>AND('Listado General'!#REF!,"AAAAAH/ae4Y=")</f>
        <v>#REF!</v>
      </c>
      <c r="EF41" t="e">
        <f>IF('Listado General'!#REF!,"AAAAAH/ae4c=",0)</f>
        <v>#REF!</v>
      </c>
      <c r="EG41" t="e">
        <f>AND('Listado General'!#REF!,"AAAAAH/ae4g=")</f>
        <v>#REF!</v>
      </c>
      <c r="EH41" t="e">
        <f>AND('Listado General'!#REF!,"AAAAAH/ae4k=")</f>
        <v>#REF!</v>
      </c>
      <c r="EI41" t="e">
        <f>AND('Listado General'!#REF!,"AAAAAH/ae4o=")</f>
        <v>#REF!</v>
      </c>
      <c r="EJ41" t="e">
        <f>AND('Listado General'!#REF!,"AAAAAH/ae4s=")</f>
        <v>#REF!</v>
      </c>
      <c r="EK41" t="e">
        <f>AND('Listado General'!#REF!,"AAAAAH/ae4w=")</f>
        <v>#REF!</v>
      </c>
      <c r="EL41" t="e">
        <f>AND('Listado General'!#REF!,"AAAAAH/ae40=")</f>
        <v>#REF!</v>
      </c>
      <c r="EM41" t="e">
        <f>AND('Listado General'!#REF!,"AAAAAH/ae44=")</f>
        <v>#REF!</v>
      </c>
      <c r="EN41" t="e">
        <f>AND('Listado General'!#REF!,"AAAAAH/ae48=")</f>
        <v>#REF!</v>
      </c>
      <c r="EO41" t="e">
        <f>AND('Listado General'!#REF!,"AAAAAH/ae5A=")</f>
        <v>#REF!</v>
      </c>
      <c r="EP41" t="e">
        <f>IF('Listado General'!#REF!,"AAAAAH/ae5E=",0)</f>
        <v>#REF!</v>
      </c>
      <c r="EQ41" t="e">
        <f>AND('Listado General'!#REF!,"AAAAAH/ae5I=")</f>
        <v>#REF!</v>
      </c>
      <c r="ER41" t="e">
        <f>AND('Listado General'!#REF!,"AAAAAH/ae5M=")</f>
        <v>#REF!</v>
      </c>
      <c r="ES41" t="e">
        <f>AND('Listado General'!#REF!,"AAAAAH/ae5Q=")</f>
        <v>#REF!</v>
      </c>
      <c r="ET41" t="e">
        <f>AND('Listado General'!#REF!,"AAAAAH/ae5U=")</f>
        <v>#REF!</v>
      </c>
      <c r="EU41" t="e">
        <f>AND('Listado General'!#REF!,"AAAAAH/ae5Y=")</f>
        <v>#REF!</v>
      </c>
      <c r="EV41" t="e">
        <f>AND('Listado General'!#REF!,"AAAAAH/ae5c=")</f>
        <v>#REF!</v>
      </c>
      <c r="EW41" t="e">
        <f>AND('Listado General'!#REF!,"AAAAAH/ae5g=")</f>
        <v>#REF!</v>
      </c>
      <c r="EX41" t="e">
        <f>AND('Listado General'!#REF!,"AAAAAH/ae5k=")</f>
        <v>#REF!</v>
      </c>
      <c r="EY41" t="e">
        <f>AND('Listado General'!#REF!,"AAAAAH/ae5o=")</f>
        <v>#REF!</v>
      </c>
      <c r="EZ41" t="e">
        <f>IF('Listado General'!#REF!,"AAAAAH/ae5s=",0)</f>
        <v>#REF!</v>
      </c>
      <c r="FA41" t="e">
        <f>AND('Listado General'!#REF!,"AAAAAH/ae5w=")</f>
        <v>#REF!</v>
      </c>
      <c r="FB41" t="e">
        <f>AND('Listado General'!#REF!,"AAAAAH/ae50=")</f>
        <v>#REF!</v>
      </c>
      <c r="FC41" t="e">
        <f>AND('Listado General'!#REF!,"AAAAAH/ae54=")</f>
        <v>#REF!</v>
      </c>
      <c r="FD41" t="e">
        <f>AND('Listado General'!#REF!,"AAAAAH/ae58=")</f>
        <v>#REF!</v>
      </c>
      <c r="FE41" t="e">
        <f>AND('Listado General'!#REF!,"AAAAAH/ae6A=")</f>
        <v>#REF!</v>
      </c>
      <c r="FF41" t="e">
        <f>AND('Listado General'!#REF!,"AAAAAH/ae6E=")</f>
        <v>#REF!</v>
      </c>
      <c r="FG41" t="e">
        <f>AND('Listado General'!#REF!,"AAAAAH/ae6I=")</f>
        <v>#REF!</v>
      </c>
      <c r="FH41" t="e">
        <f>AND('Listado General'!#REF!,"AAAAAH/ae6M=")</f>
        <v>#REF!</v>
      </c>
      <c r="FI41" t="e">
        <f>AND('Listado General'!#REF!,"AAAAAH/ae6Q=")</f>
        <v>#REF!</v>
      </c>
      <c r="FJ41" t="e">
        <f>IF('Listado General'!#REF!,"AAAAAH/ae6U=",0)</f>
        <v>#REF!</v>
      </c>
      <c r="FK41" t="e">
        <f>AND('Listado General'!#REF!,"AAAAAH/ae6Y=")</f>
        <v>#REF!</v>
      </c>
      <c r="FL41" t="e">
        <f>AND('Listado General'!#REF!,"AAAAAH/ae6c=")</f>
        <v>#REF!</v>
      </c>
      <c r="FM41" t="e">
        <f>AND('Listado General'!#REF!,"AAAAAH/ae6g=")</f>
        <v>#REF!</v>
      </c>
      <c r="FN41" t="e">
        <f>AND('Listado General'!#REF!,"AAAAAH/ae6k=")</f>
        <v>#REF!</v>
      </c>
      <c r="FO41" t="e">
        <f>AND('Listado General'!#REF!,"AAAAAH/ae6o=")</f>
        <v>#REF!</v>
      </c>
      <c r="FP41" t="e">
        <f>AND('Listado General'!#REF!,"AAAAAH/ae6s=")</f>
        <v>#REF!</v>
      </c>
      <c r="FQ41" t="e">
        <f>AND('Listado General'!#REF!,"AAAAAH/ae6w=")</f>
        <v>#REF!</v>
      </c>
      <c r="FR41" t="e">
        <f>AND('Listado General'!#REF!,"AAAAAH/ae60=")</f>
        <v>#REF!</v>
      </c>
      <c r="FS41" t="e">
        <f>AND('Listado General'!#REF!,"AAAAAH/ae64=")</f>
        <v>#REF!</v>
      </c>
      <c r="FT41" t="e">
        <f>IF('Listado General'!#REF!,"AAAAAH/ae68=",0)</f>
        <v>#REF!</v>
      </c>
      <c r="FU41" t="e">
        <f>AND('Listado General'!#REF!,"AAAAAH/ae7A=")</f>
        <v>#REF!</v>
      </c>
      <c r="FV41" t="e">
        <f>AND('Listado General'!#REF!,"AAAAAH/ae7E=")</f>
        <v>#REF!</v>
      </c>
      <c r="FW41" t="e">
        <f>AND('Listado General'!#REF!,"AAAAAH/ae7I=")</f>
        <v>#REF!</v>
      </c>
      <c r="FX41" t="e">
        <f>AND('Listado General'!#REF!,"AAAAAH/ae7M=")</f>
        <v>#REF!</v>
      </c>
      <c r="FY41" t="e">
        <f>AND('Listado General'!#REF!,"AAAAAH/ae7Q=")</f>
        <v>#REF!</v>
      </c>
      <c r="FZ41" t="e">
        <f>AND('Listado General'!#REF!,"AAAAAH/ae7U=")</f>
        <v>#REF!</v>
      </c>
      <c r="GA41" t="e">
        <f>AND('Listado General'!#REF!,"AAAAAH/ae7Y=")</f>
        <v>#REF!</v>
      </c>
      <c r="GB41" t="e">
        <f>AND('Listado General'!#REF!,"AAAAAH/ae7c=")</f>
        <v>#REF!</v>
      </c>
      <c r="GC41" t="e">
        <f>AND('Listado General'!#REF!,"AAAAAH/ae7g=")</f>
        <v>#REF!</v>
      </c>
      <c r="GD41" t="e">
        <f>IF('Listado General'!#REF!,"AAAAAH/ae7k=",0)</f>
        <v>#REF!</v>
      </c>
      <c r="GE41" t="e">
        <f>AND('Listado General'!#REF!,"AAAAAH/ae7o=")</f>
        <v>#REF!</v>
      </c>
      <c r="GF41" t="e">
        <f>AND('Listado General'!#REF!,"AAAAAH/ae7s=")</f>
        <v>#REF!</v>
      </c>
      <c r="GG41" t="e">
        <f>AND('Listado General'!#REF!,"AAAAAH/ae7w=")</f>
        <v>#REF!</v>
      </c>
      <c r="GH41" t="e">
        <f>AND('Listado General'!#REF!,"AAAAAH/ae70=")</f>
        <v>#REF!</v>
      </c>
      <c r="GI41" t="e">
        <f>AND('Listado General'!#REF!,"AAAAAH/ae74=")</f>
        <v>#REF!</v>
      </c>
      <c r="GJ41" t="e">
        <f>AND('Listado General'!#REF!,"AAAAAH/ae78=")</f>
        <v>#REF!</v>
      </c>
      <c r="GK41" t="e">
        <f>AND('Listado General'!#REF!,"AAAAAH/ae8A=")</f>
        <v>#REF!</v>
      </c>
      <c r="GL41" t="e">
        <f>AND('Listado General'!#REF!,"AAAAAH/ae8E=")</f>
        <v>#REF!</v>
      </c>
      <c r="GM41" t="e">
        <f>AND('Listado General'!#REF!,"AAAAAH/ae8I=")</f>
        <v>#REF!</v>
      </c>
      <c r="GN41" t="e">
        <f>IF('Listado General'!#REF!,"AAAAAH/ae8M=",0)</f>
        <v>#REF!</v>
      </c>
      <c r="GO41" t="e">
        <f>AND('Listado General'!#REF!,"AAAAAH/ae8Q=")</f>
        <v>#REF!</v>
      </c>
      <c r="GP41" t="e">
        <f>AND('Listado General'!#REF!,"AAAAAH/ae8U=")</f>
        <v>#REF!</v>
      </c>
      <c r="GQ41" t="e">
        <f>AND('Listado General'!#REF!,"AAAAAH/ae8Y=")</f>
        <v>#REF!</v>
      </c>
      <c r="GR41" t="e">
        <f>AND('Listado General'!#REF!,"AAAAAH/ae8c=")</f>
        <v>#REF!</v>
      </c>
      <c r="GS41" t="e">
        <f>AND('Listado General'!#REF!,"AAAAAH/ae8g=")</f>
        <v>#REF!</v>
      </c>
      <c r="GT41" t="e">
        <f>AND('Listado General'!#REF!,"AAAAAH/ae8k=")</f>
        <v>#REF!</v>
      </c>
      <c r="GU41" t="e">
        <f>AND('Listado General'!#REF!,"AAAAAH/ae8o=")</f>
        <v>#REF!</v>
      </c>
      <c r="GV41" t="e">
        <f>AND('Listado General'!#REF!,"AAAAAH/ae8s=")</f>
        <v>#REF!</v>
      </c>
      <c r="GW41" t="e">
        <f>AND('Listado General'!#REF!,"AAAAAH/ae8w=")</f>
        <v>#REF!</v>
      </c>
      <c r="GX41" t="e">
        <f>IF('Listado General'!#REF!,"AAAAAH/ae80=",0)</f>
        <v>#REF!</v>
      </c>
      <c r="GY41" t="e">
        <f>AND('Listado General'!#REF!,"AAAAAH/ae84=")</f>
        <v>#REF!</v>
      </c>
      <c r="GZ41" t="e">
        <f>AND('Listado General'!#REF!,"AAAAAH/ae88=")</f>
        <v>#REF!</v>
      </c>
      <c r="HA41" t="e">
        <f>AND('Listado General'!#REF!,"AAAAAH/ae9A=")</f>
        <v>#REF!</v>
      </c>
      <c r="HB41" t="e">
        <f>AND('Listado General'!#REF!,"AAAAAH/ae9E=")</f>
        <v>#REF!</v>
      </c>
      <c r="HC41" t="e">
        <f>AND('Listado General'!#REF!,"AAAAAH/ae9I=")</f>
        <v>#REF!</v>
      </c>
      <c r="HD41" t="e">
        <f>AND('Listado General'!#REF!,"AAAAAH/ae9M=")</f>
        <v>#REF!</v>
      </c>
      <c r="HE41" t="e">
        <f>AND('Listado General'!#REF!,"AAAAAH/ae9Q=")</f>
        <v>#REF!</v>
      </c>
      <c r="HF41" t="e">
        <f>AND('Listado General'!#REF!,"AAAAAH/ae9U=")</f>
        <v>#REF!</v>
      </c>
      <c r="HG41" t="e">
        <f>AND('Listado General'!#REF!,"AAAAAH/ae9Y=")</f>
        <v>#REF!</v>
      </c>
      <c r="HH41" t="e">
        <f>IF('Listado General'!#REF!,"AAAAAH/ae9c=",0)</f>
        <v>#REF!</v>
      </c>
      <c r="HI41" t="e">
        <f>AND('Listado General'!#REF!,"AAAAAH/ae9g=")</f>
        <v>#REF!</v>
      </c>
      <c r="HJ41" t="e">
        <f>AND('Listado General'!#REF!,"AAAAAH/ae9k=")</f>
        <v>#REF!</v>
      </c>
      <c r="HK41" t="e">
        <f>AND('Listado General'!#REF!,"AAAAAH/ae9o=")</f>
        <v>#REF!</v>
      </c>
      <c r="HL41" t="e">
        <f>AND('Listado General'!#REF!,"AAAAAH/ae9s=")</f>
        <v>#REF!</v>
      </c>
      <c r="HM41" t="e">
        <f>AND('Listado General'!#REF!,"AAAAAH/ae9w=")</f>
        <v>#REF!</v>
      </c>
      <c r="HN41" t="e">
        <f>AND('Listado General'!#REF!,"AAAAAH/ae90=")</f>
        <v>#REF!</v>
      </c>
      <c r="HO41" t="e">
        <f>AND('Listado General'!#REF!,"AAAAAH/ae94=")</f>
        <v>#REF!</v>
      </c>
      <c r="HP41" t="e">
        <f>AND('Listado General'!#REF!,"AAAAAH/ae98=")</f>
        <v>#REF!</v>
      </c>
      <c r="HQ41" t="e">
        <f>AND('Listado General'!#REF!,"AAAAAH/ae+A=")</f>
        <v>#REF!</v>
      </c>
      <c r="HR41" t="e">
        <f>IF('Listado General'!#REF!,"AAAAAH/ae+E=",0)</f>
        <v>#REF!</v>
      </c>
      <c r="HS41" t="e">
        <f>AND('Listado General'!#REF!,"AAAAAH/ae+I=")</f>
        <v>#REF!</v>
      </c>
      <c r="HT41" t="e">
        <f>AND('Listado General'!#REF!,"AAAAAH/ae+M=")</f>
        <v>#REF!</v>
      </c>
      <c r="HU41" t="e">
        <f>AND('Listado General'!#REF!,"AAAAAH/ae+Q=")</f>
        <v>#REF!</v>
      </c>
      <c r="HV41" t="e">
        <f>AND('Listado General'!#REF!,"AAAAAH/ae+U=")</f>
        <v>#REF!</v>
      </c>
      <c r="HW41" t="e">
        <f>AND('Listado General'!#REF!,"AAAAAH/ae+Y=")</f>
        <v>#REF!</v>
      </c>
      <c r="HX41" t="e">
        <f>AND('Listado General'!#REF!,"AAAAAH/ae+c=")</f>
        <v>#REF!</v>
      </c>
      <c r="HY41" t="e">
        <f>AND('Listado General'!#REF!,"AAAAAH/ae+g=")</f>
        <v>#REF!</v>
      </c>
      <c r="HZ41" t="e">
        <f>AND('Listado General'!#REF!,"AAAAAH/ae+k=")</f>
        <v>#REF!</v>
      </c>
      <c r="IA41" t="e">
        <f>AND('Listado General'!#REF!,"AAAAAH/ae+o=")</f>
        <v>#REF!</v>
      </c>
      <c r="IB41" t="e">
        <f>IF('Listado General'!#REF!,"AAAAAH/ae+s=",0)</f>
        <v>#REF!</v>
      </c>
      <c r="IC41" t="e">
        <f>AND('Listado General'!#REF!,"AAAAAH/ae+w=")</f>
        <v>#REF!</v>
      </c>
      <c r="ID41" t="e">
        <f>AND('Listado General'!#REF!,"AAAAAH/ae+0=")</f>
        <v>#REF!</v>
      </c>
      <c r="IE41" t="e">
        <f>AND('Listado General'!#REF!,"AAAAAH/ae+4=")</f>
        <v>#REF!</v>
      </c>
      <c r="IF41" t="e">
        <f>AND('Listado General'!#REF!,"AAAAAH/ae+8=")</f>
        <v>#REF!</v>
      </c>
      <c r="IG41" t="e">
        <f>AND('Listado General'!#REF!,"AAAAAH/ae/A=")</f>
        <v>#REF!</v>
      </c>
      <c r="IH41" t="e">
        <f>AND('Listado General'!#REF!,"AAAAAH/ae/E=")</f>
        <v>#REF!</v>
      </c>
      <c r="II41" t="e">
        <f>AND('Listado General'!#REF!,"AAAAAH/ae/I=")</f>
        <v>#REF!</v>
      </c>
      <c r="IJ41" t="e">
        <f>AND('Listado General'!#REF!,"AAAAAH/ae/M=")</f>
        <v>#REF!</v>
      </c>
      <c r="IK41" t="e">
        <f>AND('Listado General'!#REF!,"AAAAAH/ae/Q=")</f>
        <v>#REF!</v>
      </c>
      <c r="IL41" t="e">
        <f>IF('Listado General'!#REF!,"AAAAAH/ae/U=",0)</f>
        <v>#REF!</v>
      </c>
      <c r="IM41" t="e">
        <f>AND('Listado General'!#REF!,"AAAAAH/ae/Y=")</f>
        <v>#REF!</v>
      </c>
      <c r="IN41" t="e">
        <f>AND('Listado General'!#REF!,"AAAAAH/ae/c=")</f>
        <v>#REF!</v>
      </c>
      <c r="IO41" t="e">
        <f>AND('Listado General'!#REF!,"AAAAAH/ae/g=")</f>
        <v>#REF!</v>
      </c>
      <c r="IP41" t="e">
        <f>AND('Listado General'!#REF!,"AAAAAH/ae/k=")</f>
        <v>#REF!</v>
      </c>
      <c r="IQ41" t="e">
        <f>AND('Listado General'!#REF!,"AAAAAH/ae/o=")</f>
        <v>#REF!</v>
      </c>
      <c r="IR41" t="e">
        <f>AND('Listado General'!#REF!,"AAAAAH/ae/s=")</f>
        <v>#REF!</v>
      </c>
      <c r="IS41" t="e">
        <f>AND('Listado General'!#REF!,"AAAAAH/ae/w=")</f>
        <v>#REF!</v>
      </c>
      <c r="IT41" t="e">
        <f>AND('Listado General'!#REF!,"AAAAAH/ae/0=")</f>
        <v>#REF!</v>
      </c>
      <c r="IU41" t="e">
        <f>AND('Listado General'!#REF!,"AAAAAH/ae/4=")</f>
        <v>#REF!</v>
      </c>
      <c r="IV41" t="e">
        <f>IF('Listado General'!#REF!,"AAAAAH/ae/8=",0)</f>
        <v>#REF!</v>
      </c>
    </row>
    <row r="42" spans="1:256" ht="12.75">
      <c r="A42" t="e">
        <f>AND('Listado General'!#REF!,"AAAAAH/vvwA=")</f>
        <v>#REF!</v>
      </c>
      <c r="B42" t="e">
        <f>AND('Listado General'!#REF!,"AAAAAH/vvwE=")</f>
        <v>#REF!</v>
      </c>
      <c r="C42" t="e">
        <f>AND('Listado General'!#REF!,"AAAAAH/vvwI=")</f>
        <v>#REF!</v>
      </c>
      <c r="D42" t="e">
        <f>AND('Listado General'!#REF!,"AAAAAH/vvwM=")</f>
        <v>#REF!</v>
      </c>
      <c r="E42" t="e">
        <f>AND('Listado General'!#REF!,"AAAAAH/vvwQ=")</f>
        <v>#REF!</v>
      </c>
      <c r="F42" t="e">
        <f>AND('Listado General'!#REF!,"AAAAAH/vvwU=")</f>
        <v>#REF!</v>
      </c>
      <c r="G42" t="e">
        <f>AND('Listado General'!#REF!,"AAAAAH/vvwY=")</f>
        <v>#REF!</v>
      </c>
      <c r="H42" t="e">
        <f>AND('Listado General'!#REF!,"AAAAAH/vvwc=")</f>
        <v>#REF!</v>
      </c>
      <c r="I42" t="e">
        <f>AND('Listado General'!#REF!,"AAAAAH/vvwg=")</f>
        <v>#REF!</v>
      </c>
      <c r="J42" t="e">
        <f>IF('Listado General'!#REF!,"AAAAAH/vvwk=",0)</f>
        <v>#REF!</v>
      </c>
      <c r="K42" t="e">
        <f>AND('Listado General'!#REF!,"AAAAAH/vvwo=")</f>
        <v>#REF!</v>
      </c>
      <c r="L42" t="e">
        <f>AND('Listado General'!#REF!,"AAAAAH/vvws=")</f>
        <v>#REF!</v>
      </c>
      <c r="M42" t="e">
        <f>AND('Listado General'!#REF!,"AAAAAH/vvww=")</f>
        <v>#REF!</v>
      </c>
      <c r="N42" t="e">
        <f>AND('Listado General'!#REF!,"AAAAAH/vvw0=")</f>
        <v>#REF!</v>
      </c>
      <c r="O42" t="e">
        <f>AND('Listado General'!#REF!,"AAAAAH/vvw4=")</f>
        <v>#REF!</v>
      </c>
      <c r="P42" t="e">
        <f>AND('Listado General'!#REF!,"AAAAAH/vvw8=")</f>
        <v>#REF!</v>
      </c>
      <c r="Q42" t="e">
        <f>AND('Listado General'!#REF!,"AAAAAH/vvxA=")</f>
        <v>#REF!</v>
      </c>
      <c r="R42" t="e">
        <f>AND('Listado General'!#REF!,"AAAAAH/vvxE=")</f>
        <v>#REF!</v>
      </c>
      <c r="S42" t="e">
        <f>AND('Listado General'!#REF!,"AAAAAH/vvxI=")</f>
        <v>#REF!</v>
      </c>
      <c r="T42" t="e">
        <f>IF('Listado General'!#REF!,"AAAAAH/vvxM=",0)</f>
        <v>#REF!</v>
      </c>
      <c r="U42" t="e">
        <f>AND('Listado General'!#REF!,"AAAAAH/vvxQ=")</f>
        <v>#REF!</v>
      </c>
      <c r="V42" t="e">
        <f>AND('Listado General'!#REF!,"AAAAAH/vvxU=")</f>
        <v>#REF!</v>
      </c>
      <c r="W42" t="e">
        <f>AND('Listado General'!#REF!,"AAAAAH/vvxY=")</f>
        <v>#REF!</v>
      </c>
      <c r="X42" t="e">
        <f>AND('Listado General'!#REF!,"AAAAAH/vvxc=")</f>
        <v>#REF!</v>
      </c>
      <c r="Y42" t="e">
        <f>AND('Listado General'!#REF!,"AAAAAH/vvxg=")</f>
        <v>#REF!</v>
      </c>
      <c r="Z42" t="e">
        <f>AND('Listado General'!#REF!,"AAAAAH/vvxk=")</f>
        <v>#REF!</v>
      </c>
      <c r="AA42" t="e">
        <f>AND('Listado General'!#REF!,"AAAAAH/vvxo=")</f>
        <v>#REF!</v>
      </c>
      <c r="AB42" t="e">
        <f>AND('Listado General'!#REF!,"AAAAAH/vvxs=")</f>
        <v>#REF!</v>
      </c>
      <c r="AC42" t="e">
        <f>AND('Listado General'!#REF!,"AAAAAH/vvxw=")</f>
        <v>#REF!</v>
      </c>
      <c r="AD42" t="e">
        <f>IF('Listado General'!#REF!,"AAAAAH/vvx0=",0)</f>
        <v>#REF!</v>
      </c>
      <c r="AE42" t="e">
        <f>AND('Listado General'!#REF!,"AAAAAH/vvx4=")</f>
        <v>#REF!</v>
      </c>
      <c r="AF42" t="e">
        <f>AND('Listado General'!#REF!,"AAAAAH/vvx8=")</f>
        <v>#REF!</v>
      </c>
      <c r="AG42" t="e">
        <f>AND('Listado General'!#REF!,"AAAAAH/vvyA=")</f>
        <v>#REF!</v>
      </c>
      <c r="AH42" t="e">
        <f>AND('Listado General'!#REF!,"AAAAAH/vvyE=")</f>
        <v>#REF!</v>
      </c>
      <c r="AI42" t="e">
        <f>AND('Listado General'!#REF!,"AAAAAH/vvyI=")</f>
        <v>#REF!</v>
      </c>
      <c r="AJ42" t="e">
        <f>AND('Listado General'!#REF!,"AAAAAH/vvyM=")</f>
        <v>#REF!</v>
      </c>
      <c r="AK42" t="e">
        <f>AND('Listado General'!#REF!,"AAAAAH/vvyQ=")</f>
        <v>#REF!</v>
      </c>
      <c r="AL42" t="e">
        <f>AND('Listado General'!#REF!,"AAAAAH/vvyU=")</f>
        <v>#REF!</v>
      </c>
      <c r="AM42" t="e">
        <f>AND('Listado General'!#REF!,"AAAAAH/vvyY=")</f>
        <v>#REF!</v>
      </c>
      <c r="AN42" t="e">
        <f>IF('Listado General'!#REF!,"AAAAAH/vvyc=",0)</f>
        <v>#REF!</v>
      </c>
      <c r="AO42" t="e">
        <f>AND('Listado General'!#REF!,"AAAAAH/vvyg=")</f>
        <v>#REF!</v>
      </c>
      <c r="AP42" t="e">
        <f>AND('Listado General'!#REF!,"AAAAAH/vvyk=")</f>
        <v>#REF!</v>
      </c>
      <c r="AQ42" t="e">
        <f>AND('Listado General'!#REF!,"AAAAAH/vvyo=")</f>
        <v>#REF!</v>
      </c>
      <c r="AR42" t="e">
        <f>AND('Listado General'!#REF!,"AAAAAH/vvys=")</f>
        <v>#REF!</v>
      </c>
      <c r="AS42" t="e">
        <f>AND('Listado General'!#REF!,"AAAAAH/vvyw=")</f>
        <v>#REF!</v>
      </c>
      <c r="AT42" t="e">
        <f>AND('Listado General'!#REF!,"AAAAAH/vvy0=")</f>
        <v>#REF!</v>
      </c>
      <c r="AU42" t="e">
        <f>AND('Listado General'!#REF!,"AAAAAH/vvy4=")</f>
        <v>#REF!</v>
      </c>
      <c r="AV42" t="e">
        <f>AND('Listado General'!#REF!,"AAAAAH/vvy8=")</f>
        <v>#REF!</v>
      </c>
      <c r="AW42" t="e">
        <f>AND('Listado General'!#REF!,"AAAAAH/vvzA=")</f>
        <v>#REF!</v>
      </c>
      <c r="AX42" t="e">
        <f>IF('Listado General'!#REF!,"AAAAAH/vvzE=",0)</f>
        <v>#REF!</v>
      </c>
      <c r="AY42" t="e">
        <f>AND('Listado General'!#REF!,"AAAAAH/vvzI=")</f>
        <v>#REF!</v>
      </c>
      <c r="AZ42" t="e">
        <f>AND('Listado General'!#REF!,"AAAAAH/vvzM=")</f>
        <v>#REF!</v>
      </c>
      <c r="BA42" t="e">
        <f>AND('Listado General'!#REF!,"AAAAAH/vvzQ=")</f>
        <v>#REF!</v>
      </c>
      <c r="BB42" t="e">
        <f>AND('Listado General'!#REF!,"AAAAAH/vvzU=")</f>
        <v>#REF!</v>
      </c>
      <c r="BC42" t="e">
        <f>AND('Listado General'!#REF!,"AAAAAH/vvzY=")</f>
        <v>#REF!</v>
      </c>
      <c r="BD42" t="e">
        <f>AND('Listado General'!#REF!,"AAAAAH/vvzc=")</f>
        <v>#REF!</v>
      </c>
      <c r="BE42" t="e">
        <f>AND('Listado General'!#REF!,"AAAAAH/vvzg=")</f>
        <v>#REF!</v>
      </c>
      <c r="BF42" t="e">
        <f>AND('Listado General'!#REF!,"AAAAAH/vvzk=")</f>
        <v>#REF!</v>
      </c>
      <c r="BG42" t="e">
        <f>AND('Listado General'!#REF!,"AAAAAH/vvzo=")</f>
        <v>#REF!</v>
      </c>
      <c r="BH42" t="e">
        <f>IF('Listado General'!#REF!,"AAAAAH/vvzs=",0)</f>
        <v>#REF!</v>
      </c>
      <c r="BI42" t="e">
        <f>AND('Listado General'!#REF!,"AAAAAH/vvzw=")</f>
        <v>#REF!</v>
      </c>
      <c r="BJ42" t="e">
        <f>AND('Listado General'!#REF!,"AAAAAH/vvz0=")</f>
        <v>#REF!</v>
      </c>
      <c r="BK42" t="e">
        <f>AND('Listado General'!#REF!,"AAAAAH/vvz4=")</f>
        <v>#REF!</v>
      </c>
      <c r="BL42" t="e">
        <f>AND('Listado General'!#REF!,"AAAAAH/vvz8=")</f>
        <v>#REF!</v>
      </c>
      <c r="BM42" t="e">
        <f>AND('Listado General'!#REF!,"AAAAAH/vv0A=")</f>
        <v>#REF!</v>
      </c>
      <c r="BN42" t="e">
        <f>AND('Listado General'!#REF!,"AAAAAH/vv0E=")</f>
        <v>#REF!</v>
      </c>
      <c r="BO42" t="e">
        <f>AND('Listado General'!#REF!,"AAAAAH/vv0I=")</f>
        <v>#REF!</v>
      </c>
      <c r="BP42" t="e">
        <f>AND('Listado General'!#REF!,"AAAAAH/vv0M=")</f>
        <v>#REF!</v>
      </c>
      <c r="BQ42" t="e">
        <f>AND('Listado General'!#REF!,"AAAAAH/vv0Q=")</f>
        <v>#REF!</v>
      </c>
      <c r="BR42" t="e">
        <f>IF('Listado General'!#REF!,"AAAAAH/vv0U=",0)</f>
        <v>#REF!</v>
      </c>
      <c r="BS42" t="e">
        <f>AND('Listado General'!#REF!,"AAAAAH/vv0Y=")</f>
        <v>#REF!</v>
      </c>
      <c r="BT42" t="e">
        <f>AND('Listado General'!#REF!,"AAAAAH/vv0c=")</f>
        <v>#REF!</v>
      </c>
      <c r="BU42" t="e">
        <f>AND('Listado General'!#REF!,"AAAAAH/vv0g=")</f>
        <v>#REF!</v>
      </c>
      <c r="BV42" t="e">
        <f>AND('Listado General'!#REF!,"AAAAAH/vv0k=")</f>
        <v>#REF!</v>
      </c>
      <c r="BW42" t="e">
        <f>AND('Listado General'!#REF!,"AAAAAH/vv0o=")</f>
        <v>#REF!</v>
      </c>
      <c r="BX42" t="e">
        <f>AND('Listado General'!#REF!,"AAAAAH/vv0s=")</f>
        <v>#REF!</v>
      </c>
      <c r="BY42" t="e">
        <f>AND('Listado General'!#REF!,"AAAAAH/vv0w=")</f>
        <v>#REF!</v>
      </c>
      <c r="BZ42" t="e">
        <f>AND('Listado General'!#REF!,"AAAAAH/vv00=")</f>
        <v>#REF!</v>
      </c>
      <c r="CA42" t="e">
        <f>AND('Listado General'!#REF!,"AAAAAH/vv04=")</f>
        <v>#REF!</v>
      </c>
      <c r="CB42" t="e">
        <f>IF('Listado General'!#REF!,"AAAAAH/vv08=",0)</f>
        <v>#REF!</v>
      </c>
      <c r="CC42" t="e">
        <f>AND('Listado General'!#REF!,"AAAAAH/vv1A=")</f>
        <v>#REF!</v>
      </c>
      <c r="CD42" t="e">
        <f>AND('Listado General'!#REF!,"AAAAAH/vv1E=")</f>
        <v>#REF!</v>
      </c>
      <c r="CE42" t="e">
        <f>AND('Listado General'!#REF!,"AAAAAH/vv1I=")</f>
        <v>#REF!</v>
      </c>
      <c r="CF42" t="e">
        <f>AND('Listado General'!#REF!,"AAAAAH/vv1M=")</f>
        <v>#REF!</v>
      </c>
      <c r="CG42" t="e">
        <f>AND('Listado General'!#REF!,"AAAAAH/vv1Q=")</f>
        <v>#REF!</v>
      </c>
      <c r="CH42" t="e">
        <f>AND('Listado General'!#REF!,"AAAAAH/vv1U=")</f>
        <v>#REF!</v>
      </c>
      <c r="CI42" t="e">
        <f>AND('Listado General'!#REF!,"AAAAAH/vv1Y=")</f>
        <v>#REF!</v>
      </c>
      <c r="CJ42" t="e">
        <f>AND('Listado General'!#REF!,"AAAAAH/vv1c=")</f>
        <v>#REF!</v>
      </c>
      <c r="CK42" t="e">
        <f>AND('Listado General'!#REF!,"AAAAAH/vv1g=")</f>
        <v>#REF!</v>
      </c>
      <c r="CL42" t="e">
        <f>IF('Listado General'!#REF!,"AAAAAH/vv1k=",0)</f>
        <v>#REF!</v>
      </c>
      <c r="CM42" t="e">
        <f>AND('Listado General'!#REF!,"AAAAAH/vv1o=")</f>
        <v>#REF!</v>
      </c>
      <c r="CN42" t="e">
        <f>AND('Listado General'!#REF!,"AAAAAH/vv1s=")</f>
        <v>#REF!</v>
      </c>
      <c r="CO42" t="e">
        <f>AND('Listado General'!#REF!,"AAAAAH/vv1w=")</f>
        <v>#REF!</v>
      </c>
      <c r="CP42" t="e">
        <f>AND('Listado General'!#REF!,"AAAAAH/vv10=")</f>
        <v>#REF!</v>
      </c>
      <c r="CQ42" t="e">
        <f>AND('Listado General'!#REF!,"AAAAAH/vv14=")</f>
        <v>#REF!</v>
      </c>
      <c r="CR42" t="e">
        <f>AND('Listado General'!#REF!,"AAAAAH/vv18=")</f>
        <v>#REF!</v>
      </c>
      <c r="CS42" t="e">
        <f>AND('Listado General'!#REF!,"AAAAAH/vv2A=")</f>
        <v>#REF!</v>
      </c>
      <c r="CT42" t="e">
        <f>AND('Listado General'!#REF!,"AAAAAH/vv2E=")</f>
        <v>#REF!</v>
      </c>
      <c r="CU42" t="e">
        <f>AND('Listado General'!#REF!,"AAAAAH/vv2I=")</f>
        <v>#REF!</v>
      </c>
      <c r="CV42" t="e">
        <f>IF('Listado General'!#REF!,"AAAAAH/vv2M=",0)</f>
        <v>#REF!</v>
      </c>
      <c r="CW42" t="e">
        <f>AND('Listado General'!#REF!,"AAAAAH/vv2Q=")</f>
        <v>#REF!</v>
      </c>
      <c r="CX42" t="e">
        <f>AND('Listado General'!#REF!,"AAAAAH/vv2U=")</f>
        <v>#REF!</v>
      </c>
      <c r="CY42" t="e">
        <f>AND('Listado General'!#REF!,"AAAAAH/vv2Y=")</f>
        <v>#REF!</v>
      </c>
      <c r="CZ42" t="e">
        <f>AND('Listado General'!#REF!,"AAAAAH/vv2c=")</f>
        <v>#REF!</v>
      </c>
      <c r="DA42" t="e">
        <f>AND('Listado General'!#REF!,"AAAAAH/vv2g=")</f>
        <v>#REF!</v>
      </c>
      <c r="DB42" t="e">
        <f>AND('Listado General'!#REF!,"AAAAAH/vv2k=")</f>
        <v>#REF!</v>
      </c>
      <c r="DC42" t="e">
        <f>AND('Listado General'!#REF!,"AAAAAH/vv2o=")</f>
        <v>#REF!</v>
      </c>
      <c r="DD42" t="e">
        <f>AND('Listado General'!#REF!,"AAAAAH/vv2s=")</f>
        <v>#REF!</v>
      </c>
      <c r="DE42" t="e">
        <f>AND('Listado General'!#REF!,"AAAAAH/vv2w=")</f>
        <v>#REF!</v>
      </c>
      <c r="DF42" t="e">
        <f>IF('Listado General'!#REF!,"AAAAAH/vv20=",0)</f>
        <v>#REF!</v>
      </c>
      <c r="DG42" t="e">
        <f>AND('Listado General'!#REF!,"AAAAAH/vv24=")</f>
        <v>#REF!</v>
      </c>
      <c r="DH42" t="e">
        <f>AND('Listado General'!#REF!,"AAAAAH/vv28=")</f>
        <v>#REF!</v>
      </c>
      <c r="DI42" t="e">
        <f>AND('Listado General'!#REF!,"AAAAAH/vv3A=")</f>
        <v>#REF!</v>
      </c>
      <c r="DJ42" t="e">
        <f>AND('Listado General'!#REF!,"AAAAAH/vv3E=")</f>
        <v>#REF!</v>
      </c>
      <c r="DK42" t="e">
        <f>AND('Listado General'!#REF!,"AAAAAH/vv3I=")</f>
        <v>#REF!</v>
      </c>
      <c r="DL42" t="e">
        <f>AND('Listado General'!#REF!,"AAAAAH/vv3M=")</f>
        <v>#REF!</v>
      </c>
      <c r="DM42" t="e">
        <f>AND('Listado General'!#REF!,"AAAAAH/vv3Q=")</f>
        <v>#REF!</v>
      </c>
      <c r="DN42" t="e">
        <f>AND('Listado General'!#REF!,"AAAAAH/vv3U=")</f>
        <v>#REF!</v>
      </c>
      <c r="DO42" t="e">
        <f>AND('Listado General'!#REF!,"AAAAAH/vv3Y=")</f>
        <v>#REF!</v>
      </c>
      <c r="DP42" t="e">
        <f>IF('Listado General'!#REF!,"AAAAAH/vv3c=",0)</f>
        <v>#REF!</v>
      </c>
      <c r="DQ42" t="e">
        <f>AND('Listado General'!#REF!,"AAAAAH/vv3g=")</f>
        <v>#REF!</v>
      </c>
      <c r="DR42" t="e">
        <f>AND('Listado General'!#REF!,"AAAAAH/vv3k=")</f>
        <v>#REF!</v>
      </c>
      <c r="DS42" t="e">
        <f>AND('Listado General'!#REF!,"AAAAAH/vv3o=")</f>
        <v>#REF!</v>
      </c>
      <c r="DT42" t="e">
        <f>AND('Listado General'!#REF!,"AAAAAH/vv3s=")</f>
        <v>#REF!</v>
      </c>
      <c r="DU42" t="e">
        <f>AND('Listado General'!#REF!,"AAAAAH/vv3w=")</f>
        <v>#REF!</v>
      </c>
      <c r="DV42" t="e">
        <f>AND('Listado General'!#REF!,"AAAAAH/vv30=")</f>
        <v>#REF!</v>
      </c>
      <c r="DW42" t="e">
        <f>AND('Listado General'!#REF!,"AAAAAH/vv34=")</f>
        <v>#REF!</v>
      </c>
      <c r="DX42" t="e">
        <f>AND('Listado General'!#REF!,"AAAAAH/vv38=")</f>
        <v>#REF!</v>
      </c>
      <c r="DY42" t="e">
        <f>AND('Listado General'!#REF!,"AAAAAH/vv4A=")</f>
        <v>#REF!</v>
      </c>
      <c r="DZ42" t="e">
        <f>IF('Listado General'!#REF!,"AAAAAH/vv4E=",0)</f>
        <v>#REF!</v>
      </c>
      <c r="EA42" t="e">
        <f>AND('Listado General'!#REF!,"AAAAAH/vv4I=")</f>
        <v>#REF!</v>
      </c>
      <c r="EB42" t="e">
        <f>AND('Listado General'!#REF!,"AAAAAH/vv4M=")</f>
        <v>#REF!</v>
      </c>
      <c r="EC42" t="e">
        <f>AND('Listado General'!#REF!,"AAAAAH/vv4Q=")</f>
        <v>#REF!</v>
      </c>
      <c r="ED42" t="e">
        <f>AND('Listado General'!#REF!,"AAAAAH/vv4U=")</f>
        <v>#REF!</v>
      </c>
      <c r="EE42" t="e">
        <f>AND('Listado General'!#REF!,"AAAAAH/vv4Y=")</f>
        <v>#REF!</v>
      </c>
      <c r="EF42" t="e">
        <f>AND('Listado General'!#REF!,"AAAAAH/vv4c=")</f>
        <v>#REF!</v>
      </c>
      <c r="EG42" t="e">
        <f>AND('Listado General'!#REF!,"AAAAAH/vv4g=")</f>
        <v>#REF!</v>
      </c>
      <c r="EH42" t="e">
        <f>AND('Listado General'!#REF!,"AAAAAH/vv4k=")</f>
        <v>#REF!</v>
      </c>
      <c r="EI42" t="e">
        <f>AND('Listado General'!#REF!,"AAAAAH/vv4o=")</f>
        <v>#REF!</v>
      </c>
      <c r="EJ42" t="e">
        <f>IF('Listado General'!#REF!,"AAAAAH/vv4s=",0)</f>
        <v>#REF!</v>
      </c>
      <c r="EK42" t="e">
        <f>AND('Listado General'!#REF!,"AAAAAH/vv4w=")</f>
        <v>#REF!</v>
      </c>
      <c r="EL42" t="e">
        <f>AND('Listado General'!#REF!,"AAAAAH/vv40=")</f>
        <v>#REF!</v>
      </c>
      <c r="EM42" t="e">
        <f>AND('Listado General'!#REF!,"AAAAAH/vv44=")</f>
        <v>#REF!</v>
      </c>
      <c r="EN42" t="e">
        <f>AND('Listado General'!#REF!,"AAAAAH/vv48=")</f>
        <v>#REF!</v>
      </c>
      <c r="EO42" t="e">
        <f>AND('Listado General'!#REF!,"AAAAAH/vv5A=")</f>
        <v>#REF!</v>
      </c>
      <c r="EP42" t="e">
        <f>AND('Listado General'!#REF!,"AAAAAH/vv5E=")</f>
        <v>#REF!</v>
      </c>
      <c r="EQ42" t="e">
        <f>AND('Listado General'!#REF!,"AAAAAH/vv5I=")</f>
        <v>#REF!</v>
      </c>
      <c r="ER42" t="e">
        <f>AND('Listado General'!#REF!,"AAAAAH/vv5M=")</f>
        <v>#REF!</v>
      </c>
      <c r="ES42" t="e">
        <f>AND('Listado General'!#REF!,"AAAAAH/vv5Q=")</f>
        <v>#REF!</v>
      </c>
      <c r="ET42" t="e">
        <f>IF('Listado General'!#REF!,"AAAAAH/vv5U=",0)</f>
        <v>#REF!</v>
      </c>
      <c r="EU42" t="e">
        <f>AND('Listado General'!#REF!,"AAAAAH/vv5Y=")</f>
        <v>#REF!</v>
      </c>
      <c r="EV42" t="e">
        <f>AND('Listado General'!#REF!,"AAAAAH/vv5c=")</f>
        <v>#REF!</v>
      </c>
      <c r="EW42" t="e">
        <f>AND('Listado General'!#REF!,"AAAAAH/vv5g=")</f>
        <v>#REF!</v>
      </c>
      <c r="EX42" t="e">
        <f>AND('Listado General'!#REF!,"AAAAAH/vv5k=")</f>
        <v>#REF!</v>
      </c>
      <c r="EY42" t="e">
        <f>AND('Listado General'!#REF!,"AAAAAH/vv5o=")</f>
        <v>#REF!</v>
      </c>
      <c r="EZ42" t="e">
        <f>AND('Listado General'!#REF!,"AAAAAH/vv5s=")</f>
        <v>#REF!</v>
      </c>
      <c r="FA42" t="e">
        <f>AND('Listado General'!#REF!,"AAAAAH/vv5w=")</f>
        <v>#REF!</v>
      </c>
      <c r="FB42" t="e">
        <f>AND('Listado General'!#REF!,"AAAAAH/vv50=")</f>
        <v>#REF!</v>
      </c>
      <c r="FC42" t="e">
        <f>AND('Listado General'!#REF!,"AAAAAH/vv54=")</f>
        <v>#REF!</v>
      </c>
      <c r="FD42" t="e">
        <f>IF('Listado General'!#REF!,"AAAAAH/vv58=",0)</f>
        <v>#REF!</v>
      </c>
      <c r="FE42" t="e">
        <f>AND('Listado General'!#REF!,"AAAAAH/vv6A=")</f>
        <v>#REF!</v>
      </c>
      <c r="FF42" t="e">
        <f>AND('Listado General'!#REF!,"AAAAAH/vv6E=")</f>
        <v>#REF!</v>
      </c>
      <c r="FG42" t="e">
        <f>AND('Listado General'!#REF!,"AAAAAH/vv6I=")</f>
        <v>#REF!</v>
      </c>
      <c r="FH42" t="e">
        <f>AND('Listado General'!#REF!,"AAAAAH/vv6M=")</f>
        <v>#REF!</v>
      </c>
      <c r="FI42" t="e">
        <f>AND('Listado General'!#REF!,"AAAAAH/vv6Q=")</f>
        <v>#REF!</v>
      </c>
      <c r="FJ42" t="e">
        <f>AND('Listado General'!#REF!,"AAAAAH/vv6U=")</f>
        <v>#REF!</v>
      </c>
      <c r="FK42" t="e">
        <f>AND('Listado General'!#REF!,"AAAAAH/vv6Y=")</f>
        <v>#REF!</v>
      </c>
      <c r="FL42" t="e">
        <f>AND('Listado General'!#REF!,"AAAAAH/vv6c=")</f>
        <v>#REF!</v>
      </c>
      <c r="FM42" t="e">
        <f>AND('Listado General'!#REF!,"AAAAAH/vv6g=")</f>
        <v>#REF!</v>
      </c>
      <c r="FN42" t="e">
        <f>IF('Listado General'!#REF!,"AAAAAH/vv6k=",0)</f>
        <v>#REF!</v>
      </c>
      <c r="FO42" t="e">
        <f>AND('Listado General'!#REF!,"AAAAAH/vv6o=")</f>
        <v>#REF!</v>
      </c>
      <c r="FP42" t="e">
        <f>AND('Listado General'!#REF!,"AAAAAH/vv6s=")</f>
        <v>#REF!</v>
      </c>
      <c r="FQ42" t="e">
        <f>AND('Listado General'!#REF!,"AAAAAH/vv6w=")</f>
        <v>#REF!</v>
      </c>
      <c r="FR42" t="e">
        <f>AND('Listado General'!#REF!,"AAAAAH/vv60=")</f>
        <v>#REF!</v>
      </c>
      <c r="FS42" t="e">
        <f>AND('Listado General'!#REF!,"AAAAAH/vv64=")</f>
        <v>#REF!</v>
      </c>
      <c r="FT42" t="e">
        <f>AND('Listado General'!#REF!,"AAAAAH/vv68=")</f>
        <v>#REF!</v>
      </c>
      <c r="FU42" t="e">
        <f>AND('Listado General'!#REF!,"AAAAAH/vv7A=")</f>
        <v>#REF!</v>
      </c>
      <c r="FV42" t="e">
        <f>AND('Listado General'!#REF!,"AAAAAH/vv7E=")</f>
        <v>#REF!</v>
      </c>
      <c r="FW42" t="e">
        <f>AND('Listado General'!#REF!,"AAAAAH/vv7I=")</f>
        <v>#REF!</v>
      </c>
      <c r="FX42" t="e">
        <f>IF('Listado General'!#REF!,"AAAAAH/vv7M=",0)</f>
        <v>#REF!</v>
      </c>
      <c r="FY42" t="e">
        <f>AND('Listado General'!#REF!,"AAAAAH/vv7Q=")</f>
        <v>#REF!</v>
      </c>
      <c r="FZ42" t="e">
        <f>AND('Listado General'!#REF!,"AAAAAH/vv7U=")</f>
        <v>#REF!</v>
      </c>
      <c r="GA42" t="e">
        <f>AND('Listado General'!#REF!,"AAAAAH/vv7Y=")</f>
        <v>#REF!</v>
      </c>
      <c r="GB42" t="e">
        <f>AND('Listado General'!#REF!,"AAAAAH/vv7c=")</f>
        <v>#REF!</v>
      </c>
      <c r="GC42" t="e">
        <f>AND('Listado General'!#REF!,"AAAAAH/vv7g=")</f>
        <v>#REF!</v>
      </c>
      <c r="GD42" t="e">
        <f>AND('Listado General'!#REF!,"AAAAAH/vv7k=")</f>
        <v>#REF!</v>
      </c>
      <c r="GE42" t="e">
        <f>AND('Listado General'!#REF!,"AAAAAH/vv7o=")</f>
        <v>#REF!</v>
      </c>
      <c r="GF42" t="e">
        <f>AND('Listado General'!#REF!,"AAAAAH/vv7s=")</f>
        <v>#REF!</v>
      </c>
      <c r="GG42" t="e">
        <f>AND('Listado General'!#REF!,"AAAAAH/vv7w=")</f>
        <v>#REF!</v>
      </c>
      <c r="GH42" t="e">
        <f>IF('Listado General'!#REF!,"AAAAAH/vv70=",0)</f>
        <v>#REF!</v>
      </c>
      <c r="GI42" t="e">
        <f>AND('Listado General'!#REF!,"AAAAAH/vv74=")</f>
        <v>#REF!</v>
      </c>
      <c r="GJ42" t="e">
        <f>AND('Listado General'!#REF!,"AAAAAH/vv78=")</f>
        <v>#REF!</v>
      </c>
      <c r="GK42" t="e">
        <f>AND('Listado General'!#REF!,"AAAAAH/vv8A=")</f>
        <v>#REF!</v>
      </c>
      <c r="GL42" t="e">
        <f>AND('Listado General'!#REF!,"AAAAAH/vv8E=")</f>
        <v>#REF!</v>
      </c>
      <c r="GM42" t="e">
        <f>AND('Listado General'!#REF!,"AAAAAH/vv8I=")</f>
        <v>#REF!</v>
      </c>
      <c r="GN42" t="e">
        <f>AND('Listado General'!#REF!,"AAAAAH/vv8M=")</f>
        <v>#REF!</v>
      </c>
      <c r="GO42" t="e">
        <f>AND('Listado General'!#REF!,"AAAAAH/vv8Q=")</f>
        <v>#REF!</v>
      </c>
      <c r="GP42" t="e">
        <f>AND('Listado General'!#REF!,"AAAAAH/vv8U=")</f>
        <v>#REF!</v>
      </c>
      <c r="GQ42" t="e">
        <f>AND('Listado General'!#REF!,"AAAAAH/vv8Y=")</f>
        <v>#REF!</v>
      </c>
      <c r="GR42" t="e">
        <f>IF('Listado General'!#REF!,"AAAAAH/vv8c=",0)</f>
        <v>#REF!</v>
      </c>
      <c r="GS42" t="e">
        <f>AND('Listado General'!#REF!,"AAAAAH/vv8g=")</f>
        <v>#REF!</v>
      </c>
      <c r="GT42" t="e">
        <f>AND('Listado General'!#REF!,"AAAAAH/vv8k=")</f>
        <v>#REF!</v>
      </c>
      <c r="GU42" t="e">
        <f>AND('Listado General'!#REF!,"AAAAAH/vv8o=")</f>
        <v>#REF!</v>
      </c>
      <c r="GV42" t="e">
        <f>AND('Listado General'!#REF!,"AAAAAH/vv8s=")</f>
        <v>#REF!</v>
      </c>
      <c r="GW42" t="e">
        <f>AND('Listado General'!#REF!,"AAAAAH/vv8w=")</f>
        <v>#REF!</v>
      </c>
      <c r="GX42" t="e">
        <f>AND('Listado General'!#REF!,"AAAAAH/vv80=")</f>
        <v>#REF!</v>
      </c>
      <c r="GY42" t="e">
        <f>AND('Listado General'!#REF!,"AAAAAH/vv84=")</f>
        <v>#REF!</v>
      </c>
      <c r="GZ42" t="e">
        <f>AND('Listado General'!#REF!,"AAAAAH/vv88=")</f>
        <v>#REF!</v>
      </c>
      <c r="HA42" t="e">
        <f>AND('Listado General'!#REF!,"AAAAAH/vv9A=")</f>
        <v>#REF!</v>
      </c>
      <c r="HB42" t="e">
        <f>IF('Listado General'!#REF!,"AAAAAH/vv9E=",0)</f>
        <v>#REF!</v>
      </c>
      <c r="HC42" t="e">
        <f>AND('Listado General'!#REF!,"AAAAAH/vv9I=")</f>
        <v>#REF!</v>
      </c>
      <c r="HD42" t="e">
        <f>AND('Listado General'!#REF!,"AAAAAH/vv9M=")</f>
        <v>#REF!</v>
      </c>
      <c r="HE42" t="e">
        <f>AND('Listado General'!#REF!,"AAAAAH/vv9Q=")</f>
        <v>#REF!</v>
      </c>
      <c r="HF42" t="e">
        <f>AND('Listado General'!#REF!,"AAAAAH/vv9U=")</f>
        <v>#REF!</v>
      </c>
      <c r="HG42" t="e">
        <f>AND('Listado General'!#REF!,"AAAAAH/vv9Y=")</f>
        <v>#REF!</v>
      </c>
      <c r="HH42" t="e">
        <f>AND('Listado General'!#REF!,"AAAAAH/vv9c=")</f>
        <v>#REF!</v>
      </c>
      <c r="HI42" t="e">
        <f>AND('Listado General'!#REF!,"AAAAAH/vv9g=")</f>
        <v>#REF!</v>
      </c>
      <c r="HJ42" t="e">
        <f>AND('Listado General'!#REF!,"AAAAAH/vv9k=")</f>
        <v>#REF!</v>
      </c>
      <c r="HK42" t="e">
        <f>AND('Listado General'!#REF!,"AAAAAH/vv9o=")</f>
        <v>#REF!</v>
      </c>
      <c r="HL42" t="e">
        <f>IF('Listado General'!#REF!,"AAAAAH/vv9s=",0)</f>
        <v>#REF!</v>
      </c>
      <c r="HM42" t="e">
        <f>AND('Listado General'!#REF!,"AAAAAH/vv9w=")</f>
        <v>#REF!</v>
      </c>
      <c r="HN42" t="e">
        <f>AND('Listado General'!#REF!,"AAAAAH/vv90=")</f>
        <v>#REF!</v>
      </c>
      <c r="HO42" t="e">
        <f>AND('Listado General'!#REF!,"AAAAAH/vv94=")</f>
        <v>#REF!</v>
      </c>
      <c r="HP42" t="e">
        <f>AND('Listado General'!#REF!,"AAAAAH/vv98=")</f>
        <v>#REF!</v>
      </c>
      <c r="HQ42" t="e">
        <f>AND('Listado General'!#REF!,"AAAAAH/vv+A=")</f>
        <v>#REF!</v>
      </c>
      <c r="HR42" t="e">
        <f>AND('Listado General'!#REF!,"AAAAAH/vv+E=")</f>
        <v>#REF!</v>
      </c>
      <c r="HS42" t="e">
        <f>AND('Listado General'!#REF!,"AAAAAH/vv+I=")</f>
        <v>#REF!</v>
      </c>
      <c r="HT42" t="e">
        <f>AND('Listado General'!#REF!,"AAAAAH/vv+M=")</f>
        <v>#REF!</v>
      </c>
      <c r="HU42" t="e">
        <f>AND('Listado General'!#REF!,"AAAAAH/vv+Q=")</f>
        <v>#REF!</v>
      </c>
      <c r="HV42" t="e">
        <f>IF('Listado General'!#REF!,"AAAAAH/vv+U=",0)</f>
        <v>#REF!</v>
      </c>
      <c r="HW42" t="e">
        <f>AND('Listado General'!#REF!,"AAAAAH/vv+Y=")</f>
        <v>#REF!</v>
      </c>
      <c r="HX42" t="e">
        <f>AND('Listado General'!#REF!,"AAAAAH/vv+c=")</f>
        <v>#REF!</v>
      </c>
      <c r="HY42" t="e">
        <f>AND('Listado General'!#REF!,"AAAAAH/vv+g=")</f>
        <v>#REF!</v>
      </c>
      <c r="HZ42" t="e">
        <f>AND('Listado General'!#REF!,"AAAAAH/vv+k=")</f>
        <v>#REF!</v>
      </c>
      <c r="IA42" t="e">
        <f>AND('Listado General'!#REF!,"AAAAAH/vv+o=")</f>
        <v>#REF!</v>
      </c>
      <c r="IB42" t="e">
        <f>AND('Listado General'!#REF!,"AAAAAH/vv+s=")</f>
        <v>#REF!</v>
      </c>
      <c r="IC42" t="e">
        <f>AND('Listado General'!#REF!,"AAAAAH/vv+w=")</f>
        <v>#REF!</v>
      </c>
      <c r="ID42" t="e">
        <f>AND('Listado General'!#REF!,"AAAAAH/vv+0=")</f>
        <v>#REF!</v>
      </c>
      <c r="IE42" t="e">
        <f>AND('Listado General'!#REF!,"AAAAAH/vv+4=")</f>
        <v>#REF!</v>
      </c>
      <c r="IF42" t="e">
        <f>IF('Listado General'!#REF!,"AAAAAH/vv+8=",0)</f>
        <v>#REF!</v>
      </c>
      <c r="IG42" t="e">
        <f>AND('Listado General'!#REF!,"AAAAAH/vv/A=")</f>
        <v>#REF!</v>
      </c>
      <c r="IH42" t="e">
        <f>AND('Listado General'!#REF!,"AAAAAH/vv/E=")</f>
        <v>#REF!</v>
      </c>
      <c r="II42" t="e">
        <f>AND('Listado General'!#REF!,"AAAAAH/vv/I=")</f>
        <v>#REF!</v>
      </c>
      <c r="IJ42" t="e">
        <f>AND('Listado General'!#REF!,"AAAAAH/vv/M=")</f>
        <v>#REF!</v>
      </c>
      <c r="IK42" t="e">
        <f>AND('Listado General'!#REF!,"AAAAAH/vv/Q=")</f>
        <v>#REF!</v>
      </c>
      <c r="IL42" t="e">
        <f>AND('Listado General'!#REF!,"AAAAAH/vv/U=")</f>
        <v>#REF!</v>
      </c>
      <c r="IM42" t="e">
        <f>AND('Listado General'!#REF!,"AAAAAH/vv/Y=")</f>
        <v>#REF!</v>
      </c>
      <c r="IN42" t="e">
        <f>AND('Listado General'!#REF!,"AAAAAH/vv/c=")</f>
        <v>#REF!</v>
      </c>
      <c r="IO42" t="e">
        <f>AND('Listado General'!#REF!,"AAAAAH/vv/g=")</f>
        <v>#REF!</v>
      </c>
      <c r="IP42" t="e">
        <f>IF('Listado General'!#REF!,"AAAAAH/vv/k=",0)</f>
        <v>#REF!</v>
      </c>
      <c r="IQ42" t="e">
        <f>AND('Listado General'!#REF!,"AAAAAH/vv/o=")</f>
        <v>#REF!</v>
      </c>
      <c r="IR42" t="e">
        <f>AND('Listado General'!#REF!,"AAAAAH/vv/s=")</f>
        <v>#REF!</v>
      </c>
      <c r="IS42" t="e">
        <f>AND('Listado General'!#REF!,"AAAAAH/vv/w=")</f>
        <v>#REF!</v>
      </c>
      <c r="IT42" t="e">
        <f>AND('Listado General'!#REF!,"AAAAAH/vv/0=")</f>
        <v>#REF!</v>
      </c>
      <c r="IU42" t="e">
        <f>AND('Listado General'!#REF!,"AAAAAH/vv/4=")</f>
        <v>#REF!</v>
      </c>
      <c r="IV42" t="e">
        <f>AND('Listado General'!#REF!,"AAAAAH/vv/8=")</f>
        <v>#REF!</v>
      </c>
    </row>
    <row r="43" spans="1:256" ht="12.75">
      <c r="A43" t="e">
        <f>AND('Listado General'!#REF!,"AAAAADfftQA=")</f>
        <v>#REF!</v>
      </c>
      <c r="B43" t="e">
        <f>AND('Listado General'!#REF!,"AAAAADfftQE=")</f>
        <v>#REF!</v>
      </c>
      <c r="C43" t="e">
        <f>AND('Listado General'!#REF!,"AAAAADfftQI=")</f>
        <v>#REF!</v>
      </c>
      <c r="D43" t="e">
        <f>IF('Listado General'!#REF!,"AAAAADfftQM=",0)</f>
        <v>#REF!</v>
      </c>
      <c r="E43" t="e">
        <f>AND('Listado General'!#REF!,"AAAAADfftQQ=")</f>
        <v>#REF!</v>
      </c>
      <c r="F43" t="e">
        <f>AND('Listado General'!#REF!,"AAAAADfftQU=")</f>
        <v>#REF!</v>
      </c>
      <c r="G43" t="e">
        <f>AND('Listado General'!#REF!,"AAAAADfftQY=")</f>
        <v>#REF!</v>
      </c>
      <c r="H43" t="e">
        <f>AND('Listado General'!#REF!,"AAAAADfftQc=")</f>
        <v>#REF!</v>
      </c>
      <c r="I43" t="e">
        <f>AND('Listado General'!#REF!,"AAAAADfftQg=")</f>
        <v>#REF!</v>
      </c>
      <c r="J43" t="e">
        <f>AND('Listado General'!#REF!,"AAAAADfftQk=")</f>
        <v>#REF!</v>
      </c>
      <c r="K43" t="e">
        <f>AND('Listado General'!#REF!,"AAAAADfftQo=")</f>
        <v>#REF!</v>
      </c>
      <c r="L43" t="e">
        <f>AND('Listado General'!#REF!,"AAAAADfftQs=")</f>
        <v>#REF!</v>
      </c>
      <c r="M43" t="e">
        <f>AND('Listado General'!#REF!,"AAAAADfftQw=")</f>
        <v>#REF!</v>
      </c>
      <c r="N43" t="e">
        <f>IF('Listado General'!#REF!,"AAAAADfftQ0=",0)</f>
        <v>#REF!</v>
      </c>
      <c r="O43" t="e">
        <f>AND('Listado General'!#REF!,"AAAAADfftQ4=")</f>
        <v>#REF!</v>
      </c>
      <c r="P43" t="e">
        <f>AND('Listado General'!#REF!,"AAAAADfftQ8=")</f>
        <v>#REF!</v>
      </c>
      <c r="Q43" t="e">
        <f>AND('Listado General'!#REF!,"AAAAADfftRA=")</f>
        <v>#REF!</v>
      </c>
      <c r="R43" t="e">
        <f>AND('Listado General'!#REF!,"AAAAADfftRE=")</f>
        <v>#REF!</v>
      </c>
      <c r="S43" t="e">
        <f>AND('Listado General'!#REF!,"AAAAADfftRI=")</f>
        <v>#REF!</v>
      </c>
      <c r="T43" t="e">
        <f>AND('Listado General'!#REF!,"AAAAADfftRM=")</f>
        <v>#REF!</v>
      </c>
      <c r="U43" t="e">
        <f>AND('Listado General'!#REF!,"AAAAADfftRQ=")</f>
        <v>#REF!</v>
      </c>
      <c r="V43" t="e">
        <f>AND('Listado General'!#REF!,"AAAAADfftRU=")</f>
        <v>#REF!</v>
      </c>
      <c r="W43" t="e">
        <f>AND('Listado General'!#REF!,"AAAAADfftRY=")</f>
        <v>#REF!</v>
      </c>
      <c r="X43" t="e">
        <f>IF('Listado General'!#REF!,"AAAAADfftRc=",0)</f>
        <v>#REF!</v>
      </c>
      <c r="Y43" t="e">
        <f>AND('Listado General'!#REF!,"AAAAADfftRg=")</f>
        <v>#REF!</v>
      </c>
      <c r="Z43" t="e">
        <f>AND('Listado General'!#REF!,"AAAAADfftRk=")</f>
        <v>#REF!</v>
      </c>
      <c r="AA43" t="e">
        <f>AND('Listado General'!#REF!,"AAAAADfftRo=")</f>
        <v>#REF!</v>
      </c>
      <c r="AB43" t="e">
        <f>AND('Listado General'!#REF!,"AAAAADfftRs=")</f>
        <v>#REF!</v>
      </c>
      <c r="AC43" t="e">
        <f>AND('Listado General'!#REF!,"AAAAADfftRw=")</f>
        <v>#REF!</v>
      </c>
      <c r="AD43" t="e">
        <f>AND('Listado General'!#REF!,"AAAAADfftR0=")</f>
        <v>#REF!</v>
      </c>
      <c r="AE43" t="e">
        <f>AND('Listado General'!#REF!,"AAAAADfftR4=")</f>
        <v>#REF!</v>
      </c>
      <c r="AF43" t="e">
        <f>AND('Listado General'!#REF!,"AAAAADfftR8=")</f>
        <v>#REF!</v>
      </c>
      <c r="AG43" t="e">
        <f>AND('Listado General'!#REF!,"AAAAADfftSA=")</f>
        <v>#REF!</v>
      </c>
      <c r="AH43" t="e">
        <f>IF('Listado General'!#REF!,"AAAAADfftSE=",0)</f>
        <v>#REF!</v>
      </c>
      <c r="AI43" t="e">
        <f>AND('Listado General'!#REF!,"AAAAADfftSI=")</f>
        <v>#REF!</v>
      </c>
      <c r="AJ43" t="e">
        <f>AND('Listado General'!#REF!,"AAAAADfftSM=")</f>
        <v>#REF!</v>
      </c>
      <c r="AK43" t="e">
        <f>AND('Listado General'!#REF!,"AAAAADfftSQ=")</f>
        <v>#REF!</v>
      </c>
      <c r="AL43" t="e">
        <f>AND('Listado General'!#REF!,"AAAAADfftSU=")</f>
        <v>#REF!</v>
      </c>
      <c r="AM43" t="e">
        <f>AND('Listado General'!#REF!,"AAAAADfftSY=")</f>
        <v>#REF!</v>
      </c>
      <c r="AN43" t="e">
        <f>AND('Listado General'!#REF!,"AAAAADfftSc=")</f>
        <v>#REF!</v>
      </c>
      <c r="AO43" t="e">
        <f>AND('Listado General'!#REF!,"AAAAADfftSg=")</f>
        <v>#REF!</v>
      </c>
      <c r="AP43" t="e">
        <f>AND('Listado General'!#REF!,"AAAAADfftSk=")</f>
        <v>#REF!</v>
      </c>
      <c r="AQ43" t="e">
        <f>AND('Listado General'!#REF!,"AAAAADfftSo=")</f>
        <v>#REF!</v>
      </c>
      <c r="AR43" t="e">
        <f>IF('Listado General'!#REF!,"AAAAADfftSs=",0)</f>
        <v>#REF!</v>
      </c>
      <c r="AS43" t="e">
        <f>AND('Listado General'!#REF!,"AAAAADfftSw=")</f>
        <v>#REF!</v>
      </c>
      <c r="AT43" t="e">
        <f>AND('Listado General'!#REF!,"AAAAADfftS0=")</f>
        <v>#REF!</v>
      </c>
      <c r="AU43" t="e">
        <f>AND('Listado General'!#REF!,"AAAAADfftS4=")</f>
        <v>#REF!</v>
      </c>
      <c r="AV43" t="e">
        <f>AND('Listado General'!#REF!,"AAAAADfftS8=")</f>
        <v>#REF!</v>
      </c>
      <c r="AW43" t="e">
        <f>AND('Listado General'!#REF!,"AAAAADfftTA=")</f>
        <v>#REF!</v>
      </c>
      <c r="AX43" t="e">
        <f>AND('Listado General'!#REF!,"AAAAADfftTE=")</f>
        <v>#REF!</v>
      </c>
      <c r="AY43" t="e">
        <f>AND('Listado General'!#REF!,"AAAAADfftTI=")</f>
        <v>#REF!</v>
      </c>
      <c r="AZ43" t="e">
        <f>AND('Listado General'!#REF!,"AAAAADfftTM=")</f>
        <v>#REF!</v>
      </c>
      <c r="BA43" t="e">
        <f>AND('Listado General'!#REF!,"AAAAADfftTQ=")</f>
        <v>#REF!</v>
      </c>
      <c r="BB43" t="e">
        <f>IF('Listado General'!#REF!,"AAAAADfftTU=",0)</f>
        <v>#REF!</v>
      </c>
      <c r="BC43" t="e">
        <f>AND('Listado General'!#REF!,"AAAAADfftTY=")</f>
        <v>#REF!</v>
      </c>
      <c r="BD43" t="e">
        <f>AND('Listado General'!#REF!,"AAAAADfftTc=")</f>
        <v>#REF!</v>
      </c>
      <c r="BE43" t="e">
        <f>AND('Listado General'!#REF!,"AAAAADfftTg=")</f>
        <v>#REF!</v>
      </c>
      <c r="BF43" t="e">
        <f>AND('Listado General'!#REF!,"AAAAADfftTk=")</f>
        <v>#REF!</v>
      </c>
      <c r="BG43" t="e">
        <f>AND('Listado General'!#REF!,"AAAAADfftTo=")</f>
        <v>#REF!</v>
      </c>
      <c r="BH43" t="e">
        <f>AND('Listado General'!#REF!,"AAAAADfftTs=")</f>
        <v>#REF!</v>
      </c>
      <c r="BI43" t="e">
        <f>AND('Listado General'!#REF!,"AAAAADfftTw=")</f>
        <v>#REF!</v>
      </c>
      <c r="BJ43" t="e">
        <f>AND('Listado General'!#REF!,"AAAAADfftT0=")</f>
        <v>#REF!</v>
      </c>
      <c r="BK43" t="e">
        <f>AND('Listado General'!#REF!,"AAAAADfftT4=")</f>
        <v>#REF!</v>
      </c>
      <c r="BL43" t="e">
        <f>IF('Listado General'!#REF!,"AAAAADfftT8=",0)</f>
        <v>#REF!</v>
      </c>
      <c r="BM43" t="e">
        <f>AND('Listado General'!#REF!,"AAAAADfftUA=")</f>
        <v>#REF!</v>
      </c>
      <c r="BN43" t="e">
        <f>AND('Listado General'!#REF!,"AAAAADfftUE=")</f>
        <v>#REF!</v>
      </c>
      <c r="BO43" t="e">
        <f>AND('Listado General'!#REF!,"AAAAADfftUI=")</f>
        <v>#REF!</v>
      </c>
      <c r="BP43" t="e">
        <f>AND('Listado General'!#REF!,"AAAAADfftUM=")</f>
        <v>#REF!</v>
      </c>
      <c r="BQ43" t="e">
        <f>AND('Listado General'!#REF!,"AAAAADfftUQ=")</f>
        <v>#REF!</v>
      </c>
      <c r="BR43" t="e">
        <f>AND('Listado General'!#REF!,"AAAAADfftUU=")</f>
        <v>#REF!</v>
      </c>
      <c r="BS43" t="e">
        <f>AND('Listado General'!#REF!,"AAAAADfftUY=")</f>
        <v>#REF!</v>
      </c>
      <c r="BT43" t="e">
        <f>AND('Listado General'!#REF!,"AAAAADfftUc=")</f>
        <v>#REF!</v>
      </c>
      <c r="BU43" t="e">
        <f>AND('Listado General'!#REF!,"AAAAADfftUg=")</f>
        <v>#REF!</v>
      </c>
      <c r="BV43" t="e">
        <f>IF('Listado General'!#REF!,"AAAAADfftUk=",0)</f>
        <v>#REF!</v>
      </c>
      <c r="BW43" t="e">
        <f>AND('Listado General'!#REF!,"AAAAADfftUo=")</f>
        <v>#REF!</v>
      </c>
      <c r="BX43" t="e">
        <f>AND('Listado General'!#REF!,"AAAAADfftUs=")</f>
        <v>#REF!</v>
      </c>
      <c r="BY43" t="e">
        <f>AND('Listado General'!#REF!,"AAAAADfftUw=")</f>
        <v>#REF!</v>
      </c>
      <c r="BZ43" t="e">
        <f>AND('Listado General'!#REF!,"AAAAADfftU0=")</f>
        <v>#REF!</v>
      </c>
      <c r="CA43" t="e">
        <f>AND('Listado General'!#REF!,"AAAAADfftU4=")</f>
        <v>#REF!</v>
      </c>
      <c r="CB43" t="e">
        <f>AND('Listado General'!#REF!,"AAAAADfftU8=")</f>
        <v>#REF!</v>
      </c>
      <c r="CC43" t="e">
        <f>AND('Listado General'!#REF!,"AAAAADfftVA=")</f>
        <v>#REF!</v>
      </c>
      <c r="CD43" t="e">
        <f>AND('Listado General'!#REF!,"AAAAADfftVE=")</f>
        <v>#REF!</v>
      </c>
      <c r="CE43" t="e">
        <f>AND('Listado General'!#REF!,"AAAAADfftVI=")</f>
        <v>#REF!</v>
      </c>
      <c r="CF43" t="e">
        <f>IF('Listado General'!#REF!,"AAAAADfftVM=",0)</f>
        <v>#REF!</v>
      </c>
      <c r="CG43" t="e">
        <f>AND('Listado General'!#REF!,"AAAAADfftVQ=")</f>
        <v>#REF!</v>
      </c>
      <c r="CH43" t="e">
        <f>AND('Listado General'!#REF!,"AAAAADfftVU=")</f>
        <v>#REF!</v>
      </c>
      <c r="CI43" t="e">
        <f>AND('Listado General'!#REF!,"AAAAADfftVY=")</f>
        <v>#REF!</v>
      </c>
      <c r="CJ43" t="e">
        <f>AND('Listado General'!#REF!,"AAAAADfftVc=")</f>
        <v>#REF!</v>
      </c>
      <c r="CK43" t="e">
        <f>AND('Listado General'!#REF!,"AAAAADfftVg=")</f>
        <v>#REF!</v>
      </c>
      <c r="CL43" t="e">
        <f>AND('Listado General'!#REF!,"AAAAADfftVk=")</f>
        <v>#REF!</v>
      </c>
      <c r="CM43" t="e">
        <f>AND('Listado General'!#REF!,"AAAAADfftVo=")</f>
        <v>#REF!</v>
      </c>
      <c r="CN43" t="e">
        <f>AND('Listado General'!#REF!,"AAAAADfftVs=")</f>
        <v>#REF!</v>
      </c>
      <c r="CO43" t="e">
        <f>AND('Listado General'!#REF!,"AAAAADfftVw=")</f>
        <v>#REF!</v>
      </c>
      <c r="CP43" t="e">
        <f>IF('Listado General'!#REF!,"AAAAADfftV0=",0)</f>
        <v>#REF!</v>
      </c>
      <c r="CQ43" t="e">
        <f>AND('Listado General'!#REF!,"AAAAADfftV4=")</f>
        <v>#REF!</v>
      </c>
      <c r="CR43" t="e">
        <f>AND('Listado General'!#REF!,"AAAAADfftV8=")</f>
        <v>#REF!</v>
      </c>
      <c r="CS43" t="e">
        <f>AND('Listado General'!#REF!,"AAAAADfftWA=")</f>
        <v>#REF!</v>
      </c>
      <c r="CT43" t="e">
        <f>AND('Listado General'!#REF!,"AAAAADfftWE=")</f>
        <v>#REF!</v>
      </c>
      <c r="CU43" t="e">
        <f>AND('Listado General'!#REF!,"AAAAADfftWI=")</f>
        <v>#REF!</v>
      </c>
      <c r="CV43" t="e">
        <f>AND('Listado General'!#REF!,"AAAAADfftWM=")</f>
        <v>#REF!</v>
      </c>
      <c r="CW43" t="e">
        <f>AND('Listado General'!#REF!,"AAAAADfftWQ=")</f>
        <v>#REF!</v>
      </c>
      <c r="CX43" t="e">
        <f>AND('Listado General'!#REF!,"AAAAADfftWU=")</f>
        <v>#REF!</v>
      </c>
      <c r="CY43" t="e">
        <f>AND('Listado General'!#REF!,"AAAAADfftWY=")</f>
        <v>#REF!</v>
      </c>
      <c r="CZ43" t="e">
        <f>IF('Listado General'!#REF!,"AAAAADfftWc=",0)</f>
        <v>#REF!</v>
      </c>
      <c r="DA43" t="e">
        <f>AND('Listado General'!#REF!,"AAAAADfftWg=")</f>
        <v>#REF!</v>
      </c>
      <c r="DB43" t="e">
        <f>AND('Listado General'!#REF!,"AAAAADfftWk=")</f>
        <v>#REF!</v>
      </c>
      <c r="DC43" t="e">
        <f>AND('Listado General'!#REF!,"AAAAADfftWo=")</f>
        <v>#REF!</v>
      </c>
      <c r="DD43" t="e">
        <f>AND('Listado General'!#REF!,"AAAAADfftWs=")</f>
        <v>#REF!</v>
      </c>
      <c r="DE43" t="e">
        <f>AND('Listado General'!#REF!,"AAAAADfftWw=")</f>
        <v>#REF!</v>
      </c>
      <c r="DF43" t="e">
        <f>AND('Listado General'!#REF!,"AAAAADfftW0=")</f>
        <v>#REF!</v>
      </c>
      <c r="DG43" t="e">
        <f>AND('Listado General'!#REF!,"AAAAADfftW4=")</f>
        <v>#REF!</v>
      </c>
      <c r="DH43" t="e">
        <f>AND('Listado General'!#REF!,"AAAAADfftW8=")</f>
        <v>#REF!</v>
      </c>
      <c r="DI43" t="e">
        <f>AND('Listado General'!#REF!,"AAAAADfftXA=")</f>
        <v>#REF!</v>
      </c>
      <c r="DJ43" t="e">
        <f>IF('Listado General'!#REF!,"AAAAADfftXE=",0)</f>
        <v>#REF!</v>
      </c>
      <c r="DK43" t="e">
        <f>AND('Listado General'!#REF!,"AAAAADfftXI=")</f>
        <v>#REF!</v>
      </c>
      <c r="DL43" t="e">
        <f>AND('Listado General'!#REF!,"AAAAADfftXM=")</f>
        <v>#REF!</v>
      </c>
      <c r="DM43" t="e">
        <f>AND('Listado General'!#REF!,"AAAAADfftXQ=")</f>
        <v>#REF!</v>
      </c>
      <c r="DN43" t="e">
        <f>AND('Listado General'!#REF!,"AAAAADfftXU=")</f>
        <v>#REF!</v>
      </c>
      <c r="DO43" t="e">
        <f>AND('Listado General'!#REF!,"AAAAADfftXY=")</f>
        <v>#REF!</v>
      </c>
      <c r="DP43" t="e">
        <f>AND('Listado General'!#REF!,"AAAAADfftXc=")</f>
        <v>#REF!</v>
      </c>
      <c r="DQ43" t="e">
        <f>AND('Listado General'!#REF!,"AAAAADfftXg=")</f>
        <v>#REF!</v>
      </c>
      <c r="DR43" t="e">
        <f>AND('Listado General'!#REF!,"AAAAADfftXk=")</f>
        <v>#REF!</v>
      </c>
      <c r="DS43" t="e">
        <f>AND('Listado General'!#REF!,"AAAAADfftXo=")</f>
        <v>#REF!</v>
      </c>
      <c r="DT43" t="e">
        <f>IF('Listado General'!#REF!,"AAAAADfftXs=",0)</f>
        <v>#REF!</v>
      </c>
      <c r="DU43" t="e">
        <f>AND('Listado General'!#REF!,"AAAAADfftXw=")</f>
        <v>#REF!</v>
      </c>
      <c r="DV43" t="e">
        <f>AND('Listado General'!#REF!,"AAAAADfftX0=")</f>
        <v>#REF!</v>
      </c>
      <c r="DW43" t="e">
        <f>AND('Listado General'!#REF!,"AAAAADfftX4=")</f>
        <v>#REF!</v>
      </c>
      <c r="DX43" t="e">
        <f>AND('Listado General'!#REF!,"AAAAADfftX8=")</f>
        <v>#REF!</v>
      </c>
      <c r="DY43" t="e">
        <f>AND('Listado General'!#REF!,"AAAAADfftYA=")</f>
        <v>#REF!</v>
      </c>
      <c r="DZ43" t="e">
        <f>AND('Listado General'!#REF!,"AAAAADfftYE=")</f>
        <v>#REF!</v>
      </c>
      <c r="EA43" t="e">
        <f>AND('Listado General'!#REF!,"AAAAADfftYI=")</f>
        <v>#REF!</v>
      </c>
      <c r="EB43" t="e">
        <f>AND('Listado General'!#REF!,"AAAAADfftYM=")</f>
        <v>#REF!</v>
      </c>
      <c r="EC43" t="e">
        <f>AND('Listado General'!#REF!,"AAAAADfftYQ=")</f>
        <v>#REF!</v>
      </c>
      <c r="ED43" t="e">
        <f>IF('Listado General'!#REF!,"AAAAADfftYU=",0)</f>
        <v>#REF!</v>
      </c>
      <c r="EE43" t="e">
        <f>AND('Listado General'!#REF!,"AAAAADfftYY=")</f>
        <v>#REF!</v>
      </c>
      <c r="EF43" t="e">
        <f>AND('Listado General'!#REF!,"AAAAADfftYc=")</f>
        <v>#REF!</v>
      </c>
      <c r="EG43" t="e">
        <f>AND('Listado General'!#REF!,"AAAAADfftYg=")</f>
        <v>#REF!</v>
      </c>
      <c r="EH43" t="e">
        <f>AND('Listado General'!#REF!,"AAAAADfftYk=")</f>
        <v>#REF!</v>
      </c>
      <c r="EI43" t="e">
        <f>AND('Listado General'!#REF!,"AAAAADfftYo=")</f>
        <v>#REF!</v>
      </c>
      <c r="EJ43" t="e">
        <f>AND('Listado General'!#REF!,"AAAAADfftYs=")</f>
        <v>#REF!</v>
      </c>
      <c r="EK43" t="e">
        <f>AND('Listado General'!#REF!,"AAAAADfftYw=")</f>
        <v>#REF!</v>
      </c>
      <c r="EL43" t="e">
        <f>AND('Listado General'!#REF!,"AAAAADfftY0=")</f>
        <v>#REF!</v>
      </c>
      <c r="EM43" t="e">
        <f>AND('Listado General'!#REF!,"AAAAADfftY4=")</f>
        <v>#REF!</v>
      </c>
      <c r="EN43" t="e">
        <f>IF('Listado General'!#REF!,"AAAAADfftY8=",0)</f>
        <v>#REF!</v>
      </c>
      <c r="EO43" t="e">
        <f>AND('Listado General'!#REF!,"AAAAADfftZA=")</f>
        <v>#REF!</v>
      </c>
      <c r="EP43" t="e">
        <f>AND('Listado General'!#REF!,"AAAAADfftZE=")</f>
        <v>#REF!</v>
      </c>
      <c r="EQ43" t="e">
        <f>AND('Listado General'!#REF!,"AAAAADfftZI=")</f>
        <v>#REF!</v>
      </c>
      <c r="ER43" t="e">
        <f>AND('Listado General'!#REF!,"AAAAADfftZM=")</f>
        <v>#REF!</v>
      </c>
      <c r="ES43" t="e">
        <f>AND('Listado General'!#REF!,"AAAAADfftZQ=")</f>
        <v>#REF!</v>
      </c>
      <c r="ET43" t="e">
        <f>AND('Listado General'!#REF!,"AAAAADfftZU=")</f>
        <v>#REF!</v>
      </c>
      <c r="EU43" t="e">
        <f>AND('Listado General'!#REF!,"AAAAADfftZY=")</f>
        <v>#REF!</v>
      </c>
      <c r="EV43" t="e">
        <f>AND('Listado General'!#REF!,"AAAAADfftZc=")</f>
        <v>#REF!</v>
      </c>
      <c r="EW43" t="e">
        <f>AND('Listado General'!#REF!,"AAAAADfftZg=")</f>
        <v>#REF!</v>
      </c>
      <c r="EX43" t="e">
        <f>IF('Listado General'!#REF!,"AAAAADfftZk=",0)</f>
        <v>#REF!</v>
      </c>
      <c r="EY43" t="e">
        <f>AND('Listado General'!#REF!,"AAAAADfftZo=")</f>
        <v>#REF!</v>
      </c>
      <c r="EZ43" t="e">
        <f>AND('Listado General'!#REF!,"AAAAADfftZs=")</f>
        <v>#REF!</v>
      </c>
      <c r="FA43" t="e">
        <f>AND('Listado General'!#REF!,"AAAAADfftZw=")</f>
        <v>#REF!</v>
      </c>
      <c r="FB43" t="e">
        <f>AND('Listado General'!#REF!,"AAAAADfftZ0=")</f>
        <v>#REF!</v>
      </c>
      <c r="FC43" t="e">
        <f>AND('Listado General'!#REF!,"AAAAADfftZ4=")</f>
        <v>#REF!</v>
      </c>
      <c r="FD43" t="e">
        <f>AND('Listado General'!#REF!,"AAAAADfftZ8=")</f>
        <v>#REF!</v>
      </c>
      <c r="FE43" t="e">
        <f>AND('Listado General'!#REF!,"AAAAADfftaA=")</f>
        <v>#REF!</v>
      </c>
      <c r="FF43" t="e">
        <f>AND('Listado General'!#REF!,"AAAAADfftaE=")</f>
        <v>#REF!</v>
      </c>
      <c r="FG43" t="e">
        <f>AND('Listado General'!#REF!,"AAAAADfftaI=")</f>
        <v>#REF!</v>
      </c>
      <c r="FH43" t="e">
        <f>IF('Listado General'!#REF!,"AAAAADfftaM=",0)</f>
        <v>#REF!</v>
      </c>
      <c r="FI43" t="e">
        <f>AND('Listado General'!#REF!,"AAAAADfftaQ=")</f>
        <v>#REF!</v>
      </c>
      <c r="FJ43" t="e">
        <f>AND('Listado General'!#REF!,"AAAAADfftaU=")</f>
        <v>#REF!</v>
      </c>
      <c r="FK43" t="e">
        <f>AND('Listado General'!#REF!,"AAAAADfftaY=")</f>
        <v>#REF!</v>
      </c>
      <c r="FL43" t="e">
        <f>AND('Listado General'!#REF!,"AAAAADfftac=")</f>
        <v>#REF!</v>
      </c>
      <c r="FM43" t="e">
        <f>AND('Listado General'!#REF!,"AAAAADfftag=")</f>
        <v>#REF!</v>
      </c>
      <c r="FN43" t="e">
        <f>AND('Listado General'!#REF!,"AAAAADfftak=")</f>
        <v>#REF!</v>
      </c>
      <c r="FO43" t="e">
        <f>AND('Listado General'!#REF!,"AAAAADfftao=")</f>
        <v>#REF!</v>
      </c>
      <c r="FP43" t="e">
        <f>AND('Listado General'!#REF!,"AAAAADfftas=")</f>
        <v>#REF!</v>
      </c>
      <c r="FQ43" t="e">
        <f>AND('Listado General'!#REF!,"AAAAADfftaw=")</f>
        <v>#REF!</v>
      </c>
      <c r="FR43" t="e">
        <f>IF('Listado General'!#REF!,"AAAAADffta0=",0)</f>
        <v>#REF!</v>
      </c>
      <c r="FS43" t="e">
        <f>AND('Listado General'!#REF!,"AAAAADffta4=")</f>
        <v>#REF!</v>
      </c>
      <c r="FT43" t="e">
        <f>AND('Listado General'!#REF!,"AAAAADffta8=")</f>
        <v>#REF!</v>
      </c>
      <c r="FU43" t="e">
        <f>AND('Listado General'!#REF!,"AAAAADfftbA=")</f>
        <v>#REF!</v>
      </c>
      <c r="FV43" t="e">
        <f>AND('Listado General'!#REF!,"AAAAADfftbE=")</f>
        <v>#REF!</v>
      </c>
      <c r="FW43" t="e">
        <f>AND('Listado General'!#REF!,"AAAAADfftbI=")</f>
        <v>#REF!</v>
      </c>
      <c r="FX43" t="e">
        <f>AND('Listado General'!#REF!,"AAAAADfftbM=")</f>
        <v>#REF!</v>
      </c>
      <c r="FY43" t="e">
        <f>AND('Listado General'!#REF!,"AAAAADfftbQ=")</f>
        <v>#REF!</v>
      </c>
      <c r="FZ43" t="e">
        <f>AND('Listado General'!#REF!,"AAAAADfftbU=")</f>
        <v>#REF!</v>
      </c>
      <c r="GA43" t="e">
        <f>AND('Listado General'!#REF!,"AAAAADfftbY=")</f>
        <v>#REF!</v>
      </c>
      <c r="GB43" t="e">
        <f>IF('Listado General'!#REF!,"AAAAADfftbc=",0)</f>
        <v>#REF!</v>
      </c>
      <c r="GC43" t="e">
        <f>AND('Listado General'!#REF!,"AAAAADfftbg=")</f>
        <v>#REF!</v>
      </c>
      <c r="GD43" t="e">
        <f>AND('Listado General'!#REF!,"AAAAADfftbk=")</f>
        <v>#REF!</v>
      </c>
      <c r="GE43" t="e">
        <f>AND('Listado General'!#REF!,"AAAAADfftbo=")</f>
        <v>#REF!</v>
      </c>
      <c r="GF43" t="e">
        <f>AND('Listado General'!#REF!,"AAAAADfftbs=")</f>
        <v>#REF!</v>
      </c>
      <c r="GG43" t="e">
        <f>AND('Listado General'!#REF!,"AAAAADfftbw=")</f>
        <v>#REF!</v>
      </c>
      <c r="GH43" t="e">
        <f>AND('Listado General'!#REF!,"AAAAADfftb0=")</f>
        <v>#REF!</v>
      </c>
      <c r="GI43" t="e">
        <f>AND('Listado General'!#REF!,"AAAAADfftb4=")</f>
        <v>#REF!</v>
      </c>
      <c r="GJ43" t="e">
        <f>AND('Listado General'!#REF!,"AAAAADfftb8=")</f>
        <v>#REF!</v>
      </c>
      <c r="GK43" t="e">
        <f>AND('Listado General'!#REF!,"AAAAADfftcA=")</f>
        <v>#REF!</v>
      </c>
      <c r="GL43" t="e">
        <f>IF('Listado General'!#REF!,"AAAAADfftcE=",0)</f>
        <v>#REF!</v>
      </c>
      <c r="GM43" t="e">
        <f>AND('Listado General'!#REF!,"AAAAADfftcI=")</f>
        <v>#REF!</v>
      </c>
      <c r="GN43" t="e">
        <f>AND('Listado General'!#REF!,"AAAAADfftcM=")</f>
        <v>#REF!</v>
      </c>
      <c r="GO43" t="e">
        <f>AND('Listado General'!#REF!,"AAAAADfftcQ=")</f>
        <v>#REF!</v>
      </c>
      <c r="GP43" t="e">
        <f>AND('Listado General'!#REF!,"AAAAADfftcU=")</f>
        <v>#REF!</v>
      </c>
      <c r="GQ43" t="e">
        <f>AND('Listado General'!#REF!,"AAAAADfftcY=")</f>
        <v>#REF!</v>
      </c>
      <c r="GR43" t="e">
        <f>AND('Listado General'!#REF!,"AAAAADfftcc=")</f>
        <v>#REF!</v>
      </c>
      <c r="GS43" t="e">
        <f>AND('Listado General'!#REF!,"AAAAADfftcg=")</f>
        <v>#REF!</v>
      </c>
      <c r="GT43" t="e">
        <f>AND('Listado General'!#REF!,"AAAAADfftck=")</f>
        <v>#REF!</v>
      </c>
      <c r="GU43" t="e">
        <f>AND('Listado General'!#REF!,"AAAAADfftco=")</f>
        <v>#REF!</v>
      </c>
      <c r="GV43" t="e">
        <f>IF('Listado General'!#REF!,"AAAAADfftcs=",0)</f>
        <v>#REF!</v>
      </c>
      <c r="GW43" t="e">
        <f>AND('Listado General'!#REF!,"AAAAADfftcw=")</f>
        <v>#REF!</v>
      </c>
      <c r="GX43" t="e">
        <f>AND('Listado General'!#REF!,"AAAAADfftc0=")</f>
        <v>#REF!</v>
      </c>
      <c r="GY43" t="e">
        <f>AND('Listado General'!#REF!,"AAAAADfftc4=")</f>
        <v>#REF!</v>
      </c>
      <c r="GZ43" t="e">
        <f>AND('Listado General'!#REF!,"AAAAADfftc8=")</f>
        <v>#REF!</v>
      </c>
      <c r="HA43" t="e">
        <f>AND('Listado General'!#REF!,"AAAAADfftdA=")</f>
        <v>#REF!</v>
      </c>
      <c r="HB43" t="e">
        <f>AND('Listado General'!#REF!,"AAAAADfftdE=")</f>
        <v>#REF!</v>
      </c>
      <c r="HC43" t="e">
        <f>AND('Listado General'!#REF!,"AAAAADfftdI=")</f>
        <v>#REF!</v>
      </c>
      <c r="HD43" t="e">
        <f>AND('Listado General'!#REF!,"AAAAADfftdM=")</f>
        <v>#REF!</v>
      </c>
      <c r="HE43" t="e">
        <f>AND('Listado General'!#REF!,"AAAAADfftdQ=")</f>
        <v>#REF!</v>
      </c>
      <c r="HF43" t="e">
        <f>IF('Listado General'!#REF!,"AAAAADfftdU=",0)</f>
        <v>#REF!</v>
      </c>
      <c r="HG43" t="e">
        <f>AND('Listado General'!#REF!,"AAAAADfftdY=")</f>
        <v>#REF!</v>
      </c>
      <c r="HH43" t="e">
        <f>AND('Listado General'!#REF!,"AAAAADfftdc=")</f>
        <v>#REF!</v>
      </c>
      <c r="HI43" t="e">
        <f>AND('Listado General'!#REF!,"AAAAADfftdg=")</f>
        <v>#REF!</v>
      </c>
      <c r="HJ43" t="e">
        <f>AND('Listado General'!#REF!,"AAAAADfftdk=")</f>
        <v>#REF!</v>
      </c>
      <c r="HK43" t="e">
        <f>AND('Listado General'!#REF!,"AAAAADfftdo=")</f>
        <v>#REF!</v>
      </c>
      <c r="HL43" t="e">
        <f>AND('Listado General'!#REF!,"AAAAADfftds=")</f>
        <v>#REF!</v>
      </c>
      <c r="HM43" t="e">
        <f>AND('Listado General'!#REF!,"AAAAADfftdw=")</f>
        <v>#REF!</v>
      </c>
      <c r="HN43" t="e">
        <f>AND('Listado General'!#REF!,"AAAAADfftd0=")</f>
        <v>#REF!</v>
      </c>
      <c r="HO43" t="e">
        <f>AND('Listado General'!#REF!,"AAAAADfftd4=")</f>
        <v>#REF!</v>
      </c>
      <c r="HP43" t="e">
        <f>IF('Listado General'!#REF!,"AAAAADfftd8=",0)</f>
        <v>#REF!</v>
      </c>
      <c r="HQ43" t="e">
        <f>AND('Listado General'!#REF!,"AAAAADffteA=")</f>
        <v>#REF!</v>
      </c>
      <c r="HR43" t="e">
        <f>AND('Listado General'!#REF!,"AAAAADffteE=")</f>
        <v>#REF!</v>
      </c>
      <c r="HS43" t="e">
        <f>AND('Listado General'!#REF!,"AAAAADffteI=")</f>
        <v>#REF!</v>
      </c>
      <c r="HT43" t="e">
        <f>AND('Listado General'!#REF!,"AAAAADffteM=")</f>
        <v>#REF!</v>
      </c>
      <c r="HU43" t="e">
        <f>AND('Listado General'!#REF!,"AAAAADffteQ=")</f>
        <v>#REF!</v>
      </c>
      <c r="HV43" t="e">
        <f>AND('Listado General'!#REF!,"AAAAADffteU=")</f>
        <v>#REF!</v>
      </c>
      <c r="HW43" t="e">
        <f>AND('Listado General'!#REF!,"AAAAADffteY=")</f>
        <v>#REF!</v>
      </c>
      <c r="HX43" t="e">
        <f>AND('Listado General'!#REF!,"AAAAADfftec=")</f>
        <v>#REF!</v>
      </c>
      <c r="HY43" t="e">
        <f>AND('Listado General'!#REF!,"AAAAADffteg=")</f>
        <v>#REF!</v>
      </c>
      <c r="HZ43" t="e">
        <f>IF('Listado General'!#REF!,"AAAAADfftek=",0)</f>
        <v>#REF!</v>
      </c>
      <c r="IA43" t="e">
        <f>AND('Listado General'!#REF!,"AAAAADffteo=")</f>
        <v>#REF!</v>
      </c>
      <c r="IB43" t="e">
        <f>AND('Listado General'!#REF!,"AAAAADfftes=")</f>
        <v>#REF!</v>
      </c>
      <c r="IC43" t="e">
        <f>AND('Listado General'!#REF!,"AAAAADfftew=")</f>
        <v>#REF!</v>
      </c>
      <c r="ID43" t="e">
        <f>AND('Listado General'!#REF!,"AAAAADffte0=")</f>
        <v>#REF!</v>
      </c>
      <c r="IE43" t="e">
        <f>AND('Listado General'!#REF!,"AAAAADffte4=")</f>
        <v>#REF!</v>
      </c>
      <c r="IF43" t="e">
        <f>AND('Listado General'!#REF!,"AAAAADffte8=")</f>
        <v>#REF!</v>
      </c>
      <c r="IG43" t="e">
        <f>AND('Listado General'!#REF!,"AAAAADfftfA=")</f>
        <v>#REF!</v>
      </c>
      <c r="IH43" t="e">
        <f>AND('Listado General'!#REF!,"AAAAADfftfE=")</f>
        <v>#REF!</v>
      </c>
      <c r="II43" t="e">
        <f>AND('Listado General'!#REF!,"AAAAADfftfI=")</f>
        <v>#REF!</v>
      </c>
      <c r="IJ43" t="e">
        <f>IF('Listado General'!#REF!,"AAAAADfftfM=",0)</f>
        <v>#REF!</v>
      </c>
      <c r="IK43" t="e">
        <f>AND('Listado General'!#REF!,"AAAAADfftfQ=")</f>
        <v>#REF!</v>
      </c>
      <c r="IL43" t="e">
        <f>AND('Listado General'!#REF!,"AAAAADfftfU=")</f>
        <v>#REF!</v>
      </c>
      <c r="IM43" t="e">
        <f>AND('Listado General'!#REF!,"AAAAADfftfY=")</f>
        <v>#REF!</v>
      </c>
      <c r="IN43" t="e">
        <f>AND('Listado General'!#REF!,"AAAAADfftfc=")</f>
        <v>#REF!</v>
      </c>
      <c r="IO43" t="e">
        <f>AND('Listado General'!#REF!,"AAAAADfftfg=")</f>
        <v>#REF!</v>
      </c>
      <c r="IP43" t="e">
        <f>AND('Listado General'!#REF!,"AAAAADfftfk=")</f>
        <v>#REF!</v>
      </c>
      <c r="IQ43" t="e">
        <f>AND('Listado General'!#REF!,"AAAAADfftfo=")</f>
        <v>#REF!</v>
      </c>
      <c r="IR43" t="e">
        <f>AND('Listado General'!#REF!,"AAAAADfftfs=")</f>
        <v>#REF!</v>
      </c>
      <c r="IS43" t="e">
        <f>AND('Listado General'!#REF!,"AAAAADfftfw=")</f>
        <v>#REF!</v>
      </c>
      <c r="IT43" t="e">
        <f>IF('Listado General'!#REF!,"AAAAADfftf0=",0)</f>
        <v>#REF!</v>
      </c>
      <c r="IU43" t="e">
        <f>AND('Listado General'!#REF!,"AAAAADfftf4=")</f>
        <v>#REF!</v>
      </c>
      <c r="IV43" t="e">
        <f>AND('Listado General'!#REF!,"AAAAADfftf8=")</f>
        <v>#REF!</v>
      </c>
    </row>
    <row r="44" spans="1:256" ht="12.75">
      <c r="A44" t="e">
        <f>AND('Listado General'!#REF!,"AAAAAD2x+QA=")</f>
        <v>#REF!</v>
      </c>
      <c r="B44" t="e">
        <f>AND('Listado General'!#REF!,"AAAAAD2x+QE=")</f>
        <v>#REF!</v>
      </c>
      <c r="C44" t="e">
        <f>AND('Listado General'!#REF!,"AAAAAD2x+QI=")</f>
        <v>#REF!</v>
      </c>
      <c r="D44" t="e">
        <f>AND('Listado General'!#REF!,"AAAAAD2x+QM=")</f>
        <v>#REF!</v>
      </c>
      <c r="E44" t="e">
        <f>AND('Listado General'!#REF!,"AAAAAD2x+QQ=")</f>
        <v>#REF!</v>
      </c>
      <c r="F44" t="e">
        <f>AND('Listado General'!#REF!,"AAAAAD2x+QU=")</f>
        <v>#REF!</v>
      </c>
      <c r="G44" t="e">
        <f>AND('Listado General'!#REF!,"AAAAAD2x+QY=")</f>
        <v>#REF!</v>
      </c>
      <c r="H44" t="e">
        <f>IF('Listado General'!#REF!,"AAAAAD2x+Qc=",0)</f>
        <v>#REF!</v>
      </c>
      <c r="I44" t="e">
        <f>AND('Listado General'!#REF!,"AAAAAD2x+Qg=")</f>
        <v>#REF!</v>
      </c>
      <c r="J44" t="e">
        <f>AND('Listado General'!#REF!,"AAAAAD2x+Qk=")</f>
        <v>#REF!</v>
      </c>
      <c r="K44" t="e">
        <f>AND('Listado General'!#REF!,"AAAAAD2x+Qo=")</f>
        <v>#REF!</v>
      </c>
      <c r="L44" t="e">
        <f>AND('Listado General'!#REF!,"AAAAAD2x+Qs=")</f>
        <v>#REF!</v>
      </c>
      <c r="M44" t="e">
        <f>AND('Listado General'!#REF!,"AAAAAD2x+Qw=")</f>
        <v>#REF!</v>
      </c>
      <c r="N44" t="e">
        <f>AND('Listado General'!#REF!,"AAAAAD2x+Q0=")</f>
        <v>#REF!</v>
      </c>
      <c r="O44" t="e">
        <f>AND('Listado General'!#REF!,"AAAAAD2x+Q4=")</f>
        <v>#REF!</v>
      </c>
      <c r="P44" t="e">
        <f>AND('Listado General'!#REF!,"AAAAAD2x+Q8=")</f>
        <v>#REF!</v>
      </c>
      <c r="Q44" t="e">
        <f>AND('Listado General'!#REF!,"AAAAAD2x+RA=")</f>
        <v>#REF!</v>
      </c>
      <c r="R44" t="e">
        <f>IF('Listado General'!#REF!,"AAAAAD2x+RE=",0)</f>
        <v>#REF!</v>
      </c>
      <c r="S44" t="e">
        <f>AND('Listado General'!#REF!,"AAAAAD2x+RI=")</f>
        <v>#REF!</v>
      </c>
      <c r="T44" t="e">
        <f>AND('Listado General'!#REF!,"AAAAAD2x+RM=")</f>
        <v>#REF!</v>
      </c>
      <c r="U44" t="e">
        <f>AND('Listado General'!#REF!,"AAAAAD2x+RQ=")</f>
        <v>#REF!</v>
      </c>
      <c r="V44" t="e">
        <f>AND('Listado General'!#REF!,"AAAAAD2x+RU=")</f>
        <v>#REF!</v>
      </c>
      <c r="W44" t="e">
        <f>AND('Listado General'!#REF!,"AAAAAD2x+RY=")</f>
        <v>#REF!</v>
      </c>
      <c r="X44" t="e">
        <f>AND('Listado General'!#REF!,"AAAAAD2x+Rc=")</f>
        <v>#REF!</v>
      </c>
      <c r="Y44" t="e">
        <f>AND('Listado General'!#REF!,"AAAAAD2x+Rg=")</f>
        <v>#REF!</v>
      </c>
      <c r="Z44" t="e">
        <f>AND('Listado General'!#REF!,"AAAAAD2x+Rk=")</f>
        <v>#REF!</v>
      </c>
      <c r="AA44" t="e">
        <f>AND('Listado General'!#REF!,"AAAAAD2x+Ro=")</f>
        <v>#REF!</v>
      </c>
      <c r="AB44" t="e">
        <f>IF('Listado General'!#REF!,"AAAAAD2x+Rs=",0)</f>
        <v>#REF!</v>
      </c>
      <c r="AC44" t="e">
        <f>AND('Listado General'!#REF!,"AAAAAD2x+Rw=")</f>
        <v>#REF!</v>
      </c>
      <c r="AD44" t="e">
        <f>AND('Listado General'!#REF!,"AAAAAD2x+R0=")</f>
        <v>#REF!</v>
      </c>
      <c r="AE44" t="e">
        <f>AND('Listado General'!#REF!,"AAAAAD2x+R4=")</f>
        <v>#REF!</v>
      </c>
      <c r="AF44" t="e">
        <f>AND('Listado General'!#REF!,"AAAAAD2x+R8=")</f>
        <v>#REF!</v>
      </c>
      <c r="AG44" t="e">
        <f>AND('Listado General'!#REF!,"AAAAAD2x+SA=")</f>
        <v>#REF!</v>
      </c>
      <c r="AH44" t="e">
        <f>AND('Listado General'!#REF!,"AAAAAD2x+SE=")</f>
        <v>#REF!</v>
      </c>
      <c r="AI44" t="e">
        <f>AND('Listado General'!#REF!,"AAAAAD2x+SI=")</f>
        <v>#REF!</v>
      </c>
      <c r="AJ44" t="e">
        <f>AND('Listado General'!#REF!,"AAAAAD2x+SM=")</f>
        <v>#REF!</v>
      </c>
      <c r="AK44" t="e">
        <f>AND('Listado General'!#REF!,"AAAAAD2x+SQ=")</f>
        <v>#REF!</v>
      </c>
      <c r="AL44" t="e">
        <f>IF('Listado General'!#REF!,"AAAAAD2x+SU=",0)</f>
        <v>#REF!</v>
      </c>
      <c r="AM44" t="e">
        <f>AND('Listado General'!#REF!,"AAAAAD2x+SY=")</f>
        <v>#REF!</v>
      </c>
      <c r="AN44" t="e">
        <f>AND('Listado General'!#REF!,"AAAAAD2x+Sc=")</f>
        <v>#REF!</v>
      </c>
      <c r="AO44" t="e">
        <f>AND('Listado General'!#REF!,"AAAAAD2x+Sg=")</f>
        <v>#REF!</v>
      </c>
      <c r="AP44" t="e">
        <f>AND('Listado General'!#REF!,"AAAAAD2x+Sk=")</f>
        <v>#REF!</v>
      </c>
      <c r="AQ44" t="e">
        <f>AND('Listado General'!#REF!,"AAAAAD2x+So=")</f>
        <v>#REF!</v>
      </c>
      <c r="AR44" t="e">
        <f>AND('Listado General'!#REF!,"AAAAAD2x+Ss=")</f>
        <v>#REF!</v>
      </c>
      <c r="AS44" t="e">
        <f>AND('Listado General'!#REF!,"AAAAAD2x+Sw=")</f>
        <v>#REF!</v>
      </c>
      <c r="AT44" t="e">
        <f>AND('Listado General'!#REF!,"AAAAAD2x+S0=")</f>
        <v>#REF!</v>
      </c>
      <c r="AU44" t="e">
        <f>AND('Listado General'!#REF!,"AAAAAD2x+S4=")</f>
        <v>#REF!</v>
      </c>
      <c r="AV44" t="e">
        <f>IF('Listado General'!#REF!,"AAAAAD2x+S8=",0)</f>
        <v>#REF!</v>
      </c>
      <c r="AW44" t="e">
        <f>AND('Listado General'!#REF!,"AAAAAD2x+TA=")</f>
        <v>#REF!</v>
      </c>
      <c r="AX44" t="e">
        <f>AND('Listado General'!#REF!,"AAAAAD2x+TE=")</f>
        <v>#REF!</v>
      </c>
      <c r="AY44" t="e">
        <f>AND('Listado General'!#REF!,"AAAAAD2x+TI=")</f>
        <v>#REF!</v>
      </c>
      <c r="AZ44" t="e">
        <f>AND('Listado General'!#REF!,"AAAAAD2x+TM=")</f>
        <v>#REF!</v>
      </c>
      <c r="BA44" t="e">
        <f>AND('Listado General'!#REF!,"AAAAAD2x+TQ=")</f>
        <v>#REF!</v>
      </c>
      <c r="BB44" t="e">
        <f>AND('Listado General'!#REF!,"AAAAAD2x+TU=")</f>
        <v>#REF!</v>
      </c>
      <c r="BC44" t="e">
        <f>AND('Listado General'!#REF!,"AAAAAD2x+TY=")</f>
        <v>#REF!</v>
      </c>
      <c r="BD44" t="e">
        <f>AND('Listado General'!#REF!,"AAAAAD2x+Tc=")</f>
        <v>#REF!</v>
      </c>
      <c r="BE44" t="e">
        <f>AND('Listado General'!#REF!,"AAAAAD2x+Tg=")</f>
        <v>#REF!</v>
      </c>
      <c r="BF44" t="e">
        <f>IF('Listado General'!#REF!,"AAAAAD2x+Tk=",0)</f>
        <v>#REF!</v>
      </c>
      <c r="BG44" t="e">
        <f>AND('Listado General'!#REF!,"AAAAAD2x+To=")</f>
        <v>#REF!</v>
      </c>
      <c r="BH44" t="e">
        <f>AND('Listado General'!#REF!,"AAAAAD2x+Ts=")</f>
        <v>#REF!</v>
      </c>
      <c r="BI44" t="e">
        <f>AND('Listado General'!#REF!,"AAAAAD2x+Tw=")</f>
        <v>#REF!</v>
      </c>
      <c r="BJ44" t="e">
        <f>AND('Listado General'!#REF!,"AAAAAD2x+T0=")</f>
        <v>#REF!</v>
      </c>
      <c r="BK44" t="e">
        <f>AND('Listado General'!#REF!,"AAAAAD2x+T4=")</f>
        <v>#REF!</v>
      </c>
      <c r="BL44" t="e">
        <f>AND('Listado General'!#REF!,"AAAAAD2x+T8=")</f>
        <v>#REF!</v>
      </c>
      <c r="BM44" t="e">
        <f>AND('Listado General'!#REF!,"AAAAAD2x+UA=")</f>
        <v>#REF!</v>
      </c>
      <c r="BN44" t="e">
        <f>AND('Listado General'!#REF!,"AAAAAD2x+UE=")</f>
        <v>#REF!</v>
      </c>
      <c r="BO44" t="e">
        <f>AND('Listado General'!#REF!,"AAAAAD2x+UI=")</f>
        <v>#REF!</v>
      </c>
      <c r="BP44" t="e">
        <f>IF('Listado General'!#REF!,"AAAAAD2x+UM=",0)</f>
        <v>#REF!</v>
      </c>
      <c r="BQ44" t="e">
        <f>AND('Listado General'!#REF!,"AAAAAD2x+UQ=")</f>
        <v>#REF!</v>
      </c>
      <c r="BR44" t="e">
        <f>AND('Listado General'!#REF!,"AAAAAD2x+UU=")</f>
        <v>#REF!</v>
      </c>
      <c r="BS44" t="e">
        <f>AND('Listado General'!#REF!,"AAAAAD2x+UY=")</f>
        <v>#REF!</v>
      </c>
      <c r="BT44" t="e">
        <f>AND('Listado General'!#REF!,"AAAAAD2x+Uc=")</f>
        <v>#REF!</v>
      </c>
      <c r="BU44" t="e">
        <f>AND('Listado General'!#REF!,"AAAAAD2x+Ug=")</f>
        <v>#REF!</v>
      </c>
      <c r="BV44" t="e">
        <f>AND('Listado General'!#REF!,"AAAAAD2x+Uk=")</f>
        <v>#REF!</v>
      </c>
      <c r="BW44" t="e">
        <f>AND('Listado General'!#REF!,"AAAAAD2x+Uo=")</f>
        <v>#REF!</v>
      </c>
      <c r="BX44" t="e">
        <f>AND('Listado General'!#REF!,"AAAAAD2x+Us=")</f>
        <v>#REF!</v>
      </c>
      <c r="BY44" t="e">
        <f>AND('Listado General'!#REF!,"AAAAAD2x+Uw=")</f>
        <v>#REF!</v>
      </c>
      <c r="BZ44" t="e">
        <f>IF('Listado General'!#REF!,"AAAAAD2x+U0=",0)</f>
        <v>#REF!</v>
      </c>
      <c r="CA44" t="e">
        <f>AND('Listado General'!#REF!,"AAAAAD2x+U4=")</f>
        <v>#REF!</v>
      </c>
      <c r="CB44" t="e">
        <f>AND('Listado General'!#REF!,"AAAAAD2x+U8=")</f>
        <v>#REF!</v>
      </c>
      <c r="CC44" t="e">
        <f>AND('Listado General'!#REF!,"AAAAAD2x+VA=")</f>
        <v>#REF!</v>
      </c>
      <c r="CD44" t="e">
        <f>AND('Listado General'!#REF!,"AAAAAD2x+VE=")</f>
        <v>#REF!</v>
      </c>
      <c r="CE44" t="e">
        <f>AND('Listado General'!#REF!,"AAAAAD2x+VI=")</f>
        <v>#REF!</v>
      </c>
      <c r="CF44" t="e">
        <f>AND('Listado General'!#REF!,"AAAAAD2x+VM=")</f>
        <v>#REF!</v>
      </c>
      <c r="CG44" t="e">
        <f>AND('Listado General'!#REF!,"AAAAAD2x+VQ=")</f>
        <v>#REF!</v>
      </c>
      <c r="CH44" t="e">
        <f>AND('Listado General'!#REF!,"AAAAAD2x+VU=")</f>
        <v>#REF!</v>
      </c>
      <c r="CI44" t="e">
        <f>AND('Listado General'!#REF!,"AAAAAD2x+VY=")</f>
        <v>#REF!</v>
      </c>
      <c r="CJ44" t="e">
        <f>IF('Listado General'!#REF!,"AAAAAD2x+Vc=",0)</f>
        <v>#REF!</v>
      </c>
      <c r="CK44" t="e">
        <f>AND('Listado General'!#REF!,"AAAAAD2x+Vg=")</f>
        <v>#REF!</v>
      </c>
      <c r="CL44" t="e">
        <f>AND('Listado General'!#REF!,"AAAAAD2x+Vk=")</f>
        <v>#REF!</v>
      </c>
      <c r="CM44" t="e">
        <f>AND('Listado General'!#REF!,"AAAAAD2x+Vo=")</f>
        <v>#REF!</v>
      </c>
      <c r="CN44" t="e">
        <f>AND('Listado General'!#REF!,"AAAAAD2x+Vs=")</f>
        <v>#REF!</v>
      </c>
      <c r="CO44" t="e">
        <f>AND('Listado General'!#REF!,"AAAAAD2x+Vw=")</f>
        <v>#REF!</v>
      </c>
      <c r="CP44" t="e">
        <f>AND('Listado General'!#REF!,"AAAAAD2x+V0=")</f>
        <v>#REF!</v>
      </c>
      <c r="CQ44" t="e">
        <f>AND('Listado General'!#REF!,"AAAAAD2x+V4=")</f>
        <v>#REF!</v>
      </c>
      <c r="CR44" t="e">
        <f>AND('Listado General'!#REF!,"AAAAAD2x+V8=")</f>
        <v>#REF!</v>
      </c>
      <c r="CS44" t="e">
        <f>AND('Listado General'!#REF!,"AAAAAD2x+WA=")</f>
        <v>#REF!</v>
      </c>
      <c r="CT44" t="e">
        <f>IF('Listado General'!#REF!,"AAAAAD2x+WE=",0)</f>
        <v>#REF!</v>
      </c>
      <c r="CU44" t="e">
        <f>AND('Listado General'!#REF!,"AAAAAD2x+WI=")</f>
        <v>#REF!</v>
      </c>
      <c r="CV44" t="e">
        <f>AND('Listado General'!#REF!,"AAAAAD2x+WM=")</f>
        <v>#REF!</v>
      </c>
      <c r="CW44" t="e">
        <f>AND('Listado General'!#REF!,"AAAAAD2x+WQ=")</f>
        <v>#REF!</v>
      </c>
      <c r="CX44" t="e">
        <f>AND('Listado General'!#REF!,"AAAAAD2x+WU=")</f>
        <v>#REF!</v>
      </c>
      <c r="CY44" t="e">
        <f>AND('Listado General'!#REF!,"AAAAAD2x+WY=")</f>
        <v>#REF!</v>
      </c>
      <c r="CZ44" t="e">
        <f>AND('Listado General'!#REF!,"AAAAAD2x+Wc=")</f>
        <v>#REF!</v>
      </c>
      <c r="DA44" t="e">
        <f>AND('Listado General'!#REF!,"AAAAAD2x+Wg=")</f>
        <v>#REF!</v>
      </c>
      <c r="DB44" t="e">
        <f>AND('Listado General'!#REF!,"AAAAAD2x+Wk=")</f>
        <v>#REF!</v>
      </c>
      <c r="DC44" t="e">
        <f>AND('Listado General'!#REF!,"AAAAAD2x+Wo=")</f>
        <v>#REF!</v>
      </c>
      <c r="DD44" t="e">
        <f>IF('Listado General'!#REF!,"AAAAAD2x+Ws=",0)</f>
        <v>#REF!</v>
      </c>
      <c r="DE44" t="e">
        <f>AND('Listado General'!#REF!,"AAAAAD2x+Ww=")</f>
        <v>#REF!</v>
      </c>
      <c r="DF44" t="e">
        <f>AND('Listado General'!#REF!,"AAAAAD2x+W0=")</f>
        <v>#REF!</v>
      </c>
      <c r="DG44" t="e">
        <f>AND('Listado General'!#REF!,"AAAAAD2x+W4=")</f>
        <v>#REF!</v>
      </c>
      <c r="DH44" t="e">
        <f>AND('Listado General'!#REF!,"AAAAAD2x+W8=")</f>
        <v>#REF!</v>
      </c>
      <c r="DI44" t="e">
        <f>AND('Listado General'!#REF!,"AAAAAD2x+XA=")</f>
        <v>#REF!</v>
      </c>
      <c r="DJ44" t="e">
        <f>AND('Listado General'!#REF!,"AAAAAD2x+XE=")</f>
        <v>#REF!</v>
      </c>
      <c r="DK44" t="e">
        <f>AND('Listado General'!#REF!,"AAAAAD2x+XI=")</f>
        <v>#REF!</v>
      </c>
      <c r="DL44" t="e">
        <f>AND('Listado General'!#REF!,"AAAAAD2x+XM=")</f>
        <v>#REF!</v>
      </c>
      <c r="DM44" t="e">
        <f>AND('Listado General'!#REF!,"AAAAAD2x+XQ=")</f>
        <v>#REF!</v>
      </c>
      <c r="DN44" t="e">
        <f>IF('Listado General'!#REF!,"AAAAAD2x+XU=",0)</f>
        <v>#REF!</v>
      </c>
      <c r="DO44" t="e">
        <f>AND('Listado General'!#REF!,"AAAAAD2x+XY=")</f>
        <v>#REF!</v>
      </c>
      <c r="DP44" t="e">
        <f>AND('Listado General'!#REF!,"AAAAAD2x+Xc=")</f>
        <v>#REF!</v>
      </c>
      <c r="DQ44" t="e">
        <f>AND('Listado General'!#REF!,"AAAAAD2x+Xg=")</f>
        <v>#REF!</v>
      </c>
      <c r="DR44" t="e">
        <f>AND('Listado General'!#REF!,"AAAAAD2x+Xk=")</f>
        <v>#REF!</v>
      </c>
      <c r="DS44" t="e">
        <f>AND('Listado General'!#REF!,"AAAAAD2x+Xo=")</f>
        <v>#REF!</v>
      </c>
      <c r="DT44" t="e">
        <f>AND('Listado General'!#REF!,"AAAAAD2x+Xs=")</f>
        <v>#REF!</v>
      </c>
      <c r="DU44" t="e">
        <f>AND('Listado General'!#REF!,"AAAAAD2x+Xw=")</f>
        <v>#REF!</v>
      </c>
      <c r="DV44" t="e">
        <f>AND('Listado General'!#REF!,"AAAAAD2x+X0=")</f>
        <v>#REF!</v>
      </c>
      <c r="DW44" t="e">
        <f>AND('Listado General'!#REF!,"AAAAAD2x+X4=")</f>
        <v>#REF!</v>
      </c>
      <c r="DX44" t="e">
        <f>IF('Listado General'!#REF!,"AAAAAD2x+X8=",0)</f>
        <v>#REF!</v>
      </c>
      <c r="DY44" t="e">
        <f>AND('Listado General'!#REF!,"AAAAAD2x+YA=")</f>
        <v>#REF!</v>
      </c>
      <c r="DZ44" t="e">
        <f>AND('Listado General'!#REF!,"AAAAAD2x+YE=")</f>
        <v>#REF!</v>
      </c>
      <c r="EA44" t="e">
        <f>AND('Listado General'!#REF!,"AAAAAD2x+YI=")</f>
        <v>#REF!</v>
      </c>
      <c r="EB44" t="e">
        <f>AND('Listado General'!#REF!,"AAAAAD2x+YM=")</f>
        <v>#REF!</v>
      </c>
      <c r="EC44" t="e">
        <f>AND('Listado General'!#REF!,"AAAAAD2x+YQ=")</f>
        <v>#REF!</v>
      </c>
      <c r="ED44" t="e">
        <f>AND('Listado General'!#REF!,"AAAAAD2x+YU=")</f>
        <v>#REF!</v>
      </c>
      <c r="EE44" t="e">
        <f>AND('Listado General'!#REF!,"AAAAAD2x+YY=")</f>
        <v>#REF!</v>
      </c>
      <c r="EF44" t="e">
        <f>AND('Listado General'!#REF!,"AAAAAD2x+Yc=")</f>
        <v>#REF!</v>
      </c>
      <c r="EG44" t="e">
        <f>AND('Listado General'!#REF!,"AAAAAD2x+Yg=")</f>
        <v>#REF!</v>
      </c>
      <c r="EH44" t="e">
        <f>IF('Listado General'!#REF!,"AAAAAD2x+Yk=",0)</f>
        <v>#REF!</v>
      </c>
      <c r="EI44" t="e">
        <f>AND('Listado General'!#REF!,"AAAAAD2x+Yo=")</f>
        <v>#REF!</v>
      </c>
      <c r="EJ44" t="e">
        <f>AND('Listado General'!#REF!,"AAAAAD2x+Ys=")</f>
        <v>#REF!</v>
      </c>
      <c r="EK44" t="e">
        <f>AND('Listado General'!#REF!,"AAAAAD2x+Yw=")</f>
        <v>#REF!</v>
      </c>
      <c r="EL44" t="e">
        <f>AND('Listado General'!#REF!,"AAAAAD2x+Y0=")</f>
        <v>#REF!</v>
      </c>
      <c r="EM44" t="e">
        <f>AND('Listado General'!#REF!,"AAAAAD2x+Y4=")</f>
        <v>#REF!</v>
      </c>
      <c r="EN44" t="e">
        <f>AND('Listado General'!#REF!,"AAAAAD2x+Y8=")</f>
        <v>#REF!</v>
      </c>
      <c r="EO44" t="e">
        <f>AND('Listado General'!#REF!,"AAAAAD2x+ZA=")</f>
        <v>#REF!</v>
      </c>
      <c r="EP44" t="e">
        <f>AND('Listado General'!#REF!,"AAAAAD2x+ZE=")</f>
        <v>#REF!</v>
      </c>
      <c r="EQ44" t="e">
        <f>AND('Listado General'!#REF!,"AAAAAD2x+ZI=")</f>
        <v>#REF!</v>
      </c>
      <c r="ER44" t="e">
        <f>IF('Listado General'!#REF!,"AAAAAD2x+ZM=",0)</f>
        <v>#REF!</v>
      </c>
      <c r="ES44" t="e">
        <f>AND('Listado General'!#REF!,"AAAAAD2x+ZQ=")</f>
        <v>#REF!</v>
      </c>
      <c r="ET44" t="e">
        <f>AND('Listado General'!#REF!,"AAAAAD2x+ZU=")</f>
        <v>#REF!</v>
      </c>
      <c r="EU44" t="e">
        <f>AND('Listado General'!#REF!,"AAAAAD2x+ZY=")</f>
        <v>#REF!</v>
      </c>
      <c r="EV44" t="e">
        <f>AND('Listado General'!#REF!,"AAAAAD2x+Zc=")</f>
        <v>#REF!</v>
      </c>
      <c r="EW44" t="e">
        <f>AND('Listado General'!#REF!,"AAAAAD2x+Zg=")</f>
        <v>#REF!</v>
      </c>
      <c r="EX44" t="e">
        <f>AND('Listado General'!#REF!,"AAAAAD2x+Zk=")</f>
        <v>#REF!</v>
      </c>
      <c r="EY44" t="e">
        <f>AND('Listado General'!#REF!,"AAAAAD2x+Zo=")</f>
        <v>#REF!</v>
      </c>
      <c r="EZ44" t="e">
        <f>AND('Listado General'!#REF!,"AAAAAD2x+Zs=")</f>
        <v>#REF!</v>
      </c>
      <c r="FA44" t="e">
        <f>AND('Listado General'!#REF!,"AAAAAD2x+Zw=")</f>
        <v>#REF!</v>
      </c>
      <c r="FB44" t="e">
        <f>IF('Listado General'!#REF!,"AAAAAD2x+Z0=",0)</f>
        <v>#REF!</v>
      </c>
      <c r="FC44" t="e">
        <f>AND('Listado General'!#REF!,"AAAAAD2x+Z4=")</f>
        <v>#REF!</v>
      </c>
      <c r="FD44" t="e">
        <f>AND('Listado General'!#REF!,"AAAAAD2x+Z8=")</f>
        <v>#REF!</v>
      </c>
      <c r="FE44" t="e">
        <f>AND('Listado General'!#REF!,"AAAAAD2x+aA=")</f>
        <v>#REF!</v>
      </c>
      <c r="FF44" t="e">
        <f>AND('Listado General'!#REF!,"AAAAAD2x+aE=")</f>
        <v>#REF!</v>
      </c>
      <c r="FG44" t="e">
        <f>AND('Listado General'!#REF!,"AAAAAD2x+aI=")</f>
        <v>#REF!</v>
      </c>
      <c r="FH44" t="e">
        <f>AND('Listado General'!#REF!,"AAAAAD2x+aM=")</f>
        <v>#REF!</v>
      </c>
      <c r="FI44" t="e">
        <f>AND('Listado General'!#REF!,"AAAAAD2x+aQ=")</f>
        <v>#REF!</v>
      </c>
      <c r="FJ44" t="e">
        <f>AND('Listado General'!#REF!,"AAAAAD2x+aU=")</f>
        <v>#REF!</v>
      </c>
      <c r="FK44" t="e">
        <f>AND('Listado General'!#REF!,"AAAAAD2x+aY=")</f>
        <v>#REF!</v>
      </c>
      <c r="FL44" t="e">
        <f>IF('Listado General'!#REF!,"AAAAAD2x+ac=",0)</f>
        <v>#REF!</v>
      </c>
      <c r="FM44" t="e">
        <f>AND('Listado General'!#REF!,"AAAAAD2x+ag=")</f>
        <v>#REF!</v>
      </c>
      <c r="FN44" t="e">
        <f>AND('Listado General'!#REF!,"AAAAAD2x+ak=")</f>
        <v>#REF!</v>
      </c>
      <c r="FO44" t="e">
        <f>AND('Listado General'!#REF!,"AAAAAD2x+ao=")</f>
        <v>#REF!</v>
      </c>
      <c r="FP44" t="e">
        <f>AND('Listado General'!#REF!,"AAAAAD2x+as=")</f>
        <v>#REF!</v>
      </c>
      <c r="FQ44" t="e">
        <f>AND('Listado General'!#REF!,"AAAAAD2x+aw=")</f>
        <v>#REF!</v>
      </c>
      <c r="FR44" t="e">
        <f>AND('Listado General'!#REF!,"AAAAAD2x+a0=")</f>
        <v>#REF!</v>
      </c>
      <c r="FS44" t="e">
        <f>AND('Listado General'!#REF!,"AAAAAD2x+a4=")</f>
        <v>#REF!</v>
      </c>
      <c r="FT44" t="e">
        <f>AND('Listado General'!#REF!,"AAAAAD2x+a8=")</f>
        <v>#REF!</v>
      </c>
      <c r="FU44" t="e">
        <f>AND('Listado General'!#REF!,"AAAAAD2x+bA=")</f>
        <v>#REF!</v>
      </c>
      <c r="FV44" t="e">
        <f>IF('Listado General'!#REF!,"AAAAAD2x+bE=",0)</f>
        <v>#REF!</v>
      </c>
      <c r="FW44" t="e">
        <f>AND('Listado General'!#REF!,"AAAAAD2x+bI=")</f>
        <v>#REF!</v>
      </c>
      <c r="FX44" t="e">
        <f>AND('Listado General'!#REF!,"AAAAAD2x+bM=")</f>
        <v>#REF!</v>
      </c>
      <c r="FY44" t="e">
        <f>AND('Listado General'!#REF!,"AAAAAD2x+bQ=")</f>
        <v>#REF!</v>
      </c>
      <c r="FZ44" t="e">
        <f>AND('Listado General'!#REF!,"AAAAAD2x+bU=")</f>
        <v>#REF!</v>
      </c>
      <c r="GA44" t="e">
        <f>AND('Listado General'!#REF!,"AAAAAD2x+bY=")</f>
        <v>#REF!</v>
      </c>
      <c r="GB44" t="e">
        <f>AND('Listado General'!#REF!,"AAAAAD2x+bc=")</f>
        <v>#REF!</v>
      </c>
      <c r="GC44" t="e">
        <f>AND('Listado General'!#REF!,"AAAAAD2x+bg=")</f>
        <v>#REF!</v>
      </c>
      <c r="GD44" t="e">
        <f>AND('Listado General'!#REF!,"AAAAAD2x+bk=")</f>
        <v>#REF!</v>
      </c>
      <c r="GE44" t="e">
        <f>AND('Listado General'!#REF!,"AAAAAD2x+bo=")</f>
        <v>#REF!</v>
      </c>
      <c r="GF44" t="e">
        <f>IF('Listado General'!#REF!,"AAAAAD2x+bs=",0)</f>
        <v>#REF!</v>
      </c>
      <c r="GG44" t="e">
        <f>AND('Listado General'!#REF!,"AAAAAD2x+bw=")</f>
        <v>#REF!</v>
      </c>
      <c r="GH44" t="e">
        <f>AND('Listado General'!#REF!,"AAAAAD2x+b0=")</f>
        <v>#REF!</v>
      </c>
      <c r="GI44" t="e">
        <f>AND('Listado General'!#REF!,"AAAAAD2x+b4=")</f>
        <v>#REF!</v>
      </c>
      <c r="GJ44" t="e">
        <f>AND('Listado General'!#REF!,"AAAAAD2x+b8=")</f>
        <v>#REF!</v>
      </c>
      <c r="GK44" t="e">
        <f>AND('Listado General'!#REF!,"AAAAAD2x+cA=")</f>
        <v>#REF!</v>
      </c>
      <c r="GL44" t="e">
        <f>AND('Listado General'!#REF!,"AAAAAD2x+cE=")</f>
        <v>#REF!</v>
      </c>
      <c r="GM44" t="e">
        <f>AND('Listado General'!#REF!,"AAAAAD2x+cI=")</f>
        <v>#REF!</v>
      </c>
      <c r="GN44" t="e">
        <f>AND('Listado General'!#REF!,"AAAAAD2x+cM=")</f>
        <v>#REF!</v>
      </c>
      <c r="GO44" t="e">
        <f>AND('Listado General'!#REF!,"AAAAAD2x+cQ=")</f>
        <v>#REF!</v>
      </c>
      <c r="GP44" t="e">
        <f>IF('Listado General'!#REF!,"AAAAAD2x+cU=",0)</f>
        <v>#REF!</v>
      </c>
      <c r="GQ44" t="e">
        <f>AND('Listado General'!#REF!,"AAAAAD2x+cY=")</f>
        <v>#REF!</v>
      </c>
      <c r="GR44" t="e">
        <f>AND('Listado General'!#REF!,"AAAAAD2x+cc=")</f>
        <v>#REF!</v>
      </c>
      <c r="GS44" t="e">
        <f>AND('Listado General'!#REF!,"AAAAAD2x+cg=")</f>
        <v>#REF!</v>
      </c>
      <c r="GT44" t="e">
        <f>AND('Listado General'!#REF!,"AAAAAD2x+ck=")</f>
        <v>#REF!</v>
      </c>
      <c r="GU44" t="e">
        <f>AND('Listado General'!#REF!,"AAAAAD2x+co=")</f>
        <v>#REF!</v>
      </c>
      <c r="GV44" t="e">
        <f>AND('Listado General'!#REF!,"AAAAAD2x+cs=")</f>
        <v>#REF!</v>
      </c>
      <c r="GW44" t="e">
        <f>AND('Listado General'!#REF!,"AAAAAD2x+cw=")</f>
        <v>#REF!</v>
      </c>
      <c r="GX44" t="e">
        <f>AND('Listado General'!#REF!,"AAAAAD2x+c0=")</f>
        <v>#REF!</v>
      </c>
      <c r="GY44" t="e">
        <f>AND('Listado General'!#REF!,"AAAAAD2x+c4=")</f>
        <v>#REF!</v>
      </c>
      <c r="GZ44" t="e">
        <f>IF('Listado General'!#REF!,"AAAAAD2x+c8=",0)</f>
        <v>#REF!</v>
      </c>
      <c r="HA44" t="e">
        <f>AND('Listado General'!#REF!,"AAAAAD2x+dA=")</f>
        <v>#REF!</v>
      </c>
      <c r="HB44" t="e">
        <f>AND('Listado General'!#REF!,"AAAAAD2x+dE=")</f>
        <v>#REF!</v>
      </c>
      <c r="HC44" t="e">
        <f>AND('Listado General'!#REF!,"AAAAAD2x+dI=")</f>
        <v>#REF!</v>
      </c>
      <c r="HD44" t="e">
        <f>AND('Listado General'!#REF!,"AAAAAD2x+dM=")</f>
        <v>#REF!</v>
      </c>
      <c r="HE44" t="e">
        <f>AND('Listado General'!#REF!,"AAAAAD2x+dQ=")</f>
        <v>#REF!</v>
      </c>
      <c r="HF44" t="e">
        <f>AND('Listado General'!#REF!,"AAAAAD2x+dU=")</f>
        <v>#REF!</v>
      </c>
      <c r="HG44" t="e">
        <f>AND('Listado General'!#REF!,"AAAAAD2x+dY=")</f>
        <v>#REF!</v>
      </c>
      <c r="HH44" t="e">
        <f>AND('Listado General'!#REF!,"AAAAAD2x+dc=")</f>
        <v>#REF!</v>
      </c>
      <c r="HI44" t="e">
        <f>AND('Listado General'!#REF!,"AAAAAD2x+dg=")</f>
        <v>#REF!</v>
      </c>
      <c r="HJ44" t="e">
        <f>IF('Listado General'!#REF!,"AAAAAD2x+dk=",0)</f>
        <v>#REF!</v>
      </c>
      <c r="HK44" t="e">
        <f>AND('Listado General'!#REF!,"AAAAAD2x+do=")</f>
        <v>#REF!</v>
      </c>
      <c r="HL44" t="e">
        <f>AND('Listado General'!#REF!,"AAAAAD2x+ds=")</f>
        <v>#REF!</v>
      </c>
      <c r="HM44" t="e">
        <f>AND('Listado General'!#REF!,"AAAAAD2x+dw=")</f>
        <v>#REF!</v>
      </c>
      <c r="HN44" t="e">
        <f>AND('Listado General'!#REF!,"AAAAAD2x+d0=")</f>
        <v>#REF!</v>
      </c>
      <c r="HO44" t="e">
        <f>AND('Listado General'!#REF!,"AAAAAD2x+d4=")</f>
        <v>#REF!</v>
      </c>
      <c r="HP44" t="e">
        <f>AND('Listado General'!#REF!,"AAAAAD2x+d8=")</f>
        <v>#REF!</v>
      </c>
      <c r="HQ44" t="e">
        <f>AND('Listado General'!#REF!,"AAAAAD2x+eA=")</f>
        <v>#REF!</v>
      </c>
      <c r="HR44" t="e">
        <f>AND('Listado General'!#REF!,"AAAAAD2x+eE=")</f>
        <v>#REF!</v>
      </c>
      <c r="HS44" t="e">
        <f>AND('Listado General'!#REF!,"AAAAAD2x+eI=")</f>
        <v>#REF!</v>
      </c>
      <c r="HT44" t="e">
        <f>IF('Listado General'!#REF!,"AAAAAD2x+eM=",0)</f>
        <v>#REF!</v>
      </c>
      <c r="HU44" t="e">
        <f>AND('Listado General'!#REF!,"AAAAAD2x+eQ=")</f>
        <v>#REF!</v>
      </c>
      <c r="HV44" t="e">
        <f>AND('Listado General'!#REF!,"AAAAAD2x+eU=")</f>
        <v>#REF!</v>
      </c>
      <c r="HW44" t="e">
        <f>AND('Listado General'!#REF!,"AAAAAD2x+eY=")</f>
        <v>#REF!</v>
      </c>
      <c r="HX44" t="e">
        <f>AND('Listado General'!#REF!,"AAAAAD2x+ec=")</f>
        <v>#REF!</v>
      </c>
      <c r="HY44" t="e">
        <f>AND('Listado General'!#REF!,"AAAAAD2x+eg=")</f>
        <v>#REF!</v>
      </c>
      <c r="HZ44" t="e">
        <f>AND('Listado General'!#REF!,"AAAAAD2x+ek=")</f>
        <v>#REF!</v>
      </c>
      <c r="IA44" t="e">
        <f>AND('Listado General'!#REF!,"AAAAAD2x+eo=")</f>
        <v>#REF!</v>
      </c>
      <c r="IB44" t="e">
        <f>AND('Listado General'!#REF!,"AAAAAD2x+es=")</f>
        <v>#REF!</v>
      </c>
      <c r="IC44" t="e">
        <f>AND('Listado General'!#REF!,"AAAAAD2x+ew=")</f>
        <v>#REF!</v>
      </c>
      <c r="ID44" t="e">
        <f>IF('Listado General'!#REF!,"AAAAAD2x+e0=",0)</f>
        <v>#REF!</v>
      </c>
      <c r="IE44" t="e">
        <f>AND('Listado General'!#REF!,"AAAAAD2x+e4=")</f>
        <v>#REF!</v>
      </c>
      <c r="IF44" t="e">
        <f>AND('Listado General'!#REF!,"AAAAAD2x+e8=")</f>
        <v>#REF!</v>
      </c>
      <c r="IG44" t="e">
        <f>AND('Listado General'!#REF!,"AAAAAD2x+fA=")</f>
        <v>#REF!</v>
      </c>
      <c r="IH44" t="e">
        <f>AND('Listado General'!#REF!,"AAAAAD2x+fE=")</f>
        <v>#REF!</v>
      </c>
      <c r="II44" t="e">
        <f>AND('Listado General'!#REF!,"AAAAAD2x+fI=")</f>
        <v>#REF!</v>
      </c>
      <c r="IJ44" t="e">
        <f>AND('Listado General'!#REF!,"AAAAAD2x+fM=")</f>
        <v>#REF!</v>
      </c>
      <c r="IK44" t="e">
        <f>AND('Listado General'!#REF!,"AAAAAD2x+fQ=")</f>
        <v>#REF!</v>
      </c>
      <c r="IL44" t="e">
        <f>AND('Listado General'!#REF!,"AAAAAD2x+fU=")</f>
        <v>#REF!</v>
      </c>
      <c r="IM44" t="e">
        <f>AND('Listado General'!#REF!,"AAAAAD2x+fY=")</f>
        <v>#REF!</v>
      </c>
      <c r="IN44" t="e">
        <f>IF('Listado General'!#REF!,"AAAAAD2x+fc=",0)</f>
        <v>#REF!</v>
      </c>
      <c r="IO44" t="e">
        <f>AND('Listado General'!#REF!,"AAAAAD2x+fg=")</f>
        <v>#REF!</v>
      </c>
      <c r="IP44" t="e">
        <f>AND('Listado General'!#REF!,"AAAAAD2x+fk=")</f>
        <v>#REF!</v>
      </c>
      <c r="IQ44" t="e">
        <f>AND('Listado General'!#REF!,"AAAAAD2x+fo=")</f>
        <v>#REF!</v>
      </c>
      <c r="IR44" t="e">
        <f>AND('Listado General'!#REF!,"AAAAAD2x+fs=")</f>
        <v>#REF!</v>
      </c>
      <c r="IS44" t="e">
        <f>AND('Listado General'!#REF!,"AAAAAD2x+fw=")</f>
        <v>#REF!</v>
      </c>
      <c r="IT44" t="e">
        <f>AND('Listado General'!#REF!,"AAAAAD2x+f0=")</f>
        <v>#REF!</v>
      </c>
      <c r="IU44" t="e">
        <f>AND('Listado General'!#REF!,"AAAAAD2x+f4=")</f>
        <v>#REF!</v>
      </c>
      <c r="IV44" t="e">
        <f>AND('Listado General'!#REF!,"AAAAAD2x+f8=")</f>
        <v>#REF!</v>
      </c>
    </row>
    <row r="45" spans="1:256" ht="12.75">
      <c r="A45" t="e">
        <f>AND('Listado General'!#REF!,"AAAAAH5/ugA=")</f>
        <v>#REF!</v>
      </c>
      <c r="B45" t="e">
        <f>IF('Listado General'!#REF!,"AAAAAH5/ugE=",0)</f>
        <v>#REF!</v>
      </c>
      <c r="C45" t="e">
        <f>AND('Listado General'!#REF!,"AAAAAH5/ugI=")</f>
        <v>#REF!</v>
      </c>
      <c r="D45" t="e">
        <f>AND('Listado General'!#REF!,"AAAAAH5/ugM=")</f>
        <v>#REF!</v>
      </c>
      <c r="E45" t="e">
        <f>AND('Listado General'!#REF!,"AAAAAH5/ugQ=")</f>
        <v>#REF!</v>
      </c>
      <c r="F45" t="e">
        <f>AND('Listado General'!#REF!,"AAAAAH5/ugU=")</f>
        <v>#REF!</v>
      </c>
      <c r="G45" t="e">
        <f>AND('Listado General'!#REF!,"AAAAAH5/ugY=")</f>
        <v>#REF!</v>
      </c>
      <c r="H45" t="e">
        <f>AND('Listado General'!#REF!,"AAAAAH5/ugc=")</f>
        <v>#REF!</v>
      </c>
      <c r="I45" t="e">
        <f>AND('Listado General'!#REF!,"AAAAAH5/ugg=")</f>
        <v>#REF!</v>
      </c>
      <c r="J45" t="e">
        <f>AND('Listado General'!#REF!,"AAAAAH5/ugk=")</f>
        <v>#REF!</v>
      </c>
      <c r="K45" t="e">
        <f>AND('Listado General'!#REF!,"AAAAAH5/ugo=")</f>
        <v>#REF!</v>
      </c>
      <c r="L45" t="e">
        <f>IF('Listado General'!#REF!,"AAAAAH5/ugs=",0)</f>
        <v>#REF!</v>
      </c>
      <c r="M45" t="e">
        <f>AND('Listado General'!#REF!,"AAAAAH5/ugw=")</f>
        <v>#REF!</v>
      </c>
      <c r="N45" t="e">
        <f>AND('Listado General'!#REF!,"AAAAAH5/ug0=")</f>
        <v>#REF!</v>
      </c>
      <c r="O45" t="e">
        <f>AND('Listado General'!#REF!,"AAAAAH5/ug4=")</f>
        <v>#REF!</v>
      </c>
      <c r="P45" t="e">
        <f>AND('Listado General'!#REF!,"AAAAAH5/ug8=")</f>
        <v>#REF!</v>
      </c>
      <c r="Q45" t="e">
        <f>AND('Listado General'!#REF!,"AAAAAH5/uhA=")</f>
        <v>#REF!</v>
      </c>
      <c r="R45" t="e">
        <f>AND('Listado General'!#REF!,"AAAAAH5/uhE=")</f>
        <v>#REF!</v>
      </c>
      <c r="S45" t="e">
        <f>AND('Listado General'!#REF!,"AAAAAH5/uhI=")</f>
        <v>#REF!</v>
      </c>
      <c r="T45" t="e">
        <f>AND('Listado General'!#REF!,"AAAAAH5/uhM=")</f>
        <v>#REF!</v>
      </c>
      <c r="U45" t="e">
        <f>AND('Listado General'!#REF!,"AAAAAH5/uhQ=")</f>
        <v>#REF!</v>
      </c>
      <c r="V45" t="e">
        <f>IF('Listado General'!#REF!,"AAAAAH5/uhU=",0)</f>
        <v>#REF!</v>
      </c>
      <c r="W45" t="e">
        <f>AND('Listado General'!#REF!,"AAAAAH5/uhY=")</f>
        <v>#REF!</v>
      </c>
      <c r="X45" t="e">
        <f>AND('Listado General'!#REF!,"AAAAAH5/uhc=")</f>
        <v>#REF!</v>
      </c>
      <c r="Y45" t="e">
        <f>AND('Listado General'!#REF!,"AAAAAH5/uhg=")</f>
        <v>#REF!</v>
      </c>
      <c r="Z45" t="e">
        <f>AND('Listado General'!#REF!,"AAAAAH5/uhk=")</f>
        <v>#REF!</v>
      </c>
      <c r="AA45" t="e">
        <f>AND('Listado General'!#REF!,"AAAAAH5/uho=")</f>
        <v>#REF!</v>
      </c>
      <c r="AB45" t="e">
        <f>AND('Listado General'!#REF!,"AAAAAH5/uhs=")</f>
        <v>#REF!</v>
      </c>
      <c r="AC45" t="e">
        <f>AND('Listado General'!#REF!,"AAAAAH5/uhw=")</f>
        <v>#REF!</v>
      </c>
      <c r="AD45" t="e">
        <f>AND('Listado General'!#REF!,"AAAAAH5/uh0=")</f>
        <v>#REF!</v>
      </c>
      <c r="AE45" t="e">
        <f>AND('Listado General'!#REF!,"AAAAAH5/uh4=")</f>
        <v>#REF!</v>
      </c>
      <c r="AF45" t="e">
        <f>IF('Listado General'!#REF!,"AAAAAH5/uh8=",0)</f>
        <v>#REF!</v>
      </c>
      <c r="AG45" t="e">
        <f>AND('Listado General'!#REF!,"AAAAAH5/uiA=")</f>
        <v>#REF!</v>
      </c>
      <c r="AH45" t="e">
        <f>AND('Listado General'!#REF!,"AAAAAH5/uiE=")</f>
        <v>#REF!</v>
      </c>
      <c r="AI45" t="e">
        <f>AND('Listado General'!#REF!,"AAAAAH5/uiI=")</f>
        <v>#REF!</v>
      </c>
      <c r="AJ45" t="e">
        <f>AND('Listado General'!#REF!,"AAAAAH5/uiM=")</f>
        <v>#REF!</v>
      </c>
      <c r="AK45" t="e">
        <f>AND('Listado General'!#REF!,"AAAAAH5/uiQ=")</f>
        <v>#REF!</v>
      </c>
      <c r="AL45" t="e">
        <f>AND('Listado General'!#REF!,"AAAAAH5/uiU=")</f>
        <v>#REF!</v>
      </c>
      <c r="AM45" t="e">
        <f>AND('Listado General'!#REF!,"AAAAAH5/uiY=")</f>
        <v>#REF!</v>
      </c>
      <c r="AN45" t="e">
        <f>AND('Listado General'!#REF!,"AAAAAH5/uic=")</f>
        <v>#REF!</v>
      </c>
      <c r="AO45" t="e">
        <f>AND('Listado General'!#REF!,"AAAAAH5/uig=")</f>
        <v>#REF!</v>
      </c>
      <c r="AP45" t="e">
        <f>IF('Listado General'!#REF!,"AAAAAH5/uik=",0)</f>
        <v>#REF!</v>
      </c>
      <c r="AQ45" t="e">
        <f>AND('Listado General'!#REF!,"AAAAAH5/uio=")</f>
        <v>#REF!</v>
      </c>
      <c r="AR45" t="e">
        <f>AND('Listado General'!#REF!,"AAAAAH5/uis=")</f>
        <v>#REF!</v>
      </c>
      <c r="AS45" t="e">
        <f>AND('Listado General'!#REF!,"AAAAAH5/uiw=")</f>
        <v>#REF!</v>
      </c>
      <c r="AT45" t="e">
        <f>AND('Listado General'!#REF!,"AAAAAH5/ui0=")</f>
        <v>#REF!</v>
      </c>
      <c r="AU45" t="e">
        <f>AND('Listado General'!#REF!,"AAAAAH5/ui4=")</f>
        <v>#REF!</v>
      </c>
      <c r="AV45" t="e">
        <f>AND('Listado General'!#REF!,"AAAAAH5/ui8=")</f>
        <v>#REF!</v>
      </c>
      <c r="AW45" t="e">
        <f>AND('Listado General'!#REF!,"AAAAAH5/ujA=")</f>
        <v>#REF!</v>
      </c>
      <c r="AX45" t="e">
        <f>AND('Listado General'!#REF!,"AAAAAH5/ujE=")</f>
        <v>#REF!</v>
      </c>
      <c r="AY45" t="e">
        <f>AND('Listado General'!#REF!,"AAAAAH5/ujI=")</f>
        <v>#REF!</v>
      </c>
      <c r="AZ45" t="e">
        <f>IF('Listado General'!#REF!,"AAAAAH5/ujM=",0)</f>
        <v>#REF!</v>
      </c>
      <c r="BA45" t="e">
        <f>AND('Listado General'!#REF!,"AAAAAH5/ujQ=")</f>
        <v>#REF!</v>
      </c>
      <c r="BB45" t="e">
        <f>AND('Listado General'!#REF!,"AAAAAH5/ujU=")</f>
        <v>#REF!</v>
      </c>
      <c r="BC45" t="e">
        <f>AND('Listado General'!#REF!,"AAAAAH5/ujY=")</f>
        <v>#REF!</v>
      </c>
      <c r="BD45" t="e">
        <f>AND('Listado General'!#REF!,"AAAAAH5/ujc=")</f>
        <v>#REF!</v>
      </c>
      <c r="BE45" t="e">
        <f>AND('Listado General'!#REF!,"AAAAAH5/ujg=")</f>
        <v>#REF!</v>
      </c>
      <c r="BF45" t="e">
        <f>AND('Listado General'!#REF!,"AAAAAH5/ujk=")</f>
        <v>#REF!</v>
      </c>
      <c r="BG45" t="e">
        <f>AND('Listado General'!#REF!,"AAAAAH5/ujo=")</f>
        <v>#REF!</v>
      </c>
      <c r="BH45" t="e">
        <f>AND('Listado General'!#REF!,"AAAAAH5/ujs=")</f>
        <v>#REF!</v>
      </c>
      <c r="BI45" t="e">
        <f>AND('Listado General'!#REF!,"AAAAAH5/ujw=")</f>
        <v>#REF!</v>
      </c>
      <c r="BJ45" t="e">
        <f>IF('Listado General'!#REF!,"AAAAAH5/uj0=",0)</f>
        <v>#REF!</v>
      </c>
      <c r="BK45" t="e">
        <f>AND('Listado General'!#REF!,"AAAAAH5/uj4=")</f>
        <v>#REF!</v>
      </c>
      <c r="BL45" t="e">
        <f>AND('Listado General'!#REF!,"AAAAAH5/uj8=")</f>
        <v>#REF!</v>
      </c>
      <c r="BM45" t="e">
        <f>AND('Listado General'!#REF!,"AAAAAH5/ukA=")</f>
        <v>#REF!</v>
      </c>
      <c r="BN45" t="e">
        <f>AND('Listado General'!#REF!,"AAAAAH5/ukE=")</f>
        <v>#REF!</v>
      </c>
      <c r="BO45" t="e">
        <f>AND('Listado General'!#REF!,"AAAAAH5/ukI=")</f>
        <v>#REF!</v>
      </c>
      <c r="BP45" t="e">
        <f>AND('Listado General'!#REF!,"AAAAAH5/ukM=")</f>
        <v>#REF!</v>
      </c>
      <c r="BQ45" t="e">
        <f>AND('Listado General'!#REF!,"AAAAAH5/ukQ=")</f>
        <v>#REF!</v>
      </c>
      <c r="BR45" t="e">
        <f>AND('Listado General'!#REF!,"AAAAAH5/ukU=")</f>
        <v>#REF!</v>
      </c>
      <c r="BS45" t="e">
        <f>AND('Listado General'!#REF!,"AAAAAH5/ukY=")</f>
        <v>#REF!</v>
      </c>
      <c r="BT45" t="e">
        <f>IF('Listado General'!#REF!,"AAAAAH5/ukc=",0)</f>
        <v>#REF!</v>
      </c>
      <c r="BU45" t="e">
        <f>AND('Listado General'!#REF!,"AAAAAH5/ukg=")</f>
        <v>#REF!</v>
      </c>
      <c r="BV45" t="e">
        <f>AND('Listado General'!#REF!,"AAAAAH5/ukk=")</f>
        <v>#REF!</v>
      </c>
      <c r="BW45" t="e">
        <f>AND('Listado General'!#REF!,"AAAAAH5/uko=")</f>
        <v>#REF!</v>
      </c>
      <c r="BX45" t="e">
        <f>AND('Listado General'!#REF!,"AAAAAH5/uks=")</f>
        <v>#REF!</v>
      </c>
      <c r="BY45" t="e">
        <f>AND('Listado General'!#REF!,"AAAAAH5/ukw=")</f>
        <v>#REF!</v>
      </c>
      <c r="BZ45" t="e">
        <f>AND('Listado General'!#REF!,"AAAAAH5/uk0=")</f>
        <v>#REF!</v>
      </c>
      <c r="CA45" t="e">
        <f>AND('Listado General'!#REF!,"AAAAAH5/uk4=")</f>
        <v>#REF!</v>
      </c>
      <c r="CB45" t="e">
        <f>AND('Listado General'!#REF!,"AAAAAH5/uk8=")</f>
        <v>#REF!</v>
      </c>
      <c r="CC45" t="e">
        <f>AND('Listado General'!#REF!,"AAAAAH5/ulA=")</f>
        <v>#REF!</v>
      </c>
      <c r="CD45" t="e">
        <f>IF('Listado General'!#REF!,"AAAAAH5/ulE=",0)</f>
        <v>#REF!</v>
      </c>
      <c r="CE45" t="e">
        <f>AND('Listado General'!#REF!,"AAAAAH5/ulI=")</f>
        <v>#REF!</v>
      </c>
      <c r="CF45" t="e">
        <f>AND('Listado General'!#REF!,"AAAAAH5/ulM=")</f>
        <v>#REF!</v>
      </c>
      <c r="CG45" t="e">
        <f>AND('Listado General'!#REF!,"AAAAAH5/ulQ=")</f>
        <v>#REF!</v>
      </c>
      <c r="CH45" t="e">
        <f>AND('Listado General'!#REF!,"AAAAAH5/ulU=")</f>
        <v>#REF!</v>
      </c>
      <c r="CI45" t="e">
        <f>AND('Listado General'!#REF!,"AAAAAH5/ulY=")</f>
        <v>#REF!</v>
      </c>
      <c r="CJ45" t="e">
        <f>AND('Listado General'!#REF!,"AAAAAH5/ulc=")</f>
        <v>#REF!</v>
      </c>
      <c r="CK45" t="e">
        <f>AND('Listado General'!#REF!,"AAAAAH5/ulg=")</f>
        <v>#REF!</v>
      </c>
      <c r="CL45" t="e">
        <f>AND('Listado General'!#REF!,"AAAAAH5/ulk=")</f>
        <v>#REF!</v>
      </c>
      <c r="CM45" t="e">
        <f>AND('Listado General'!#REF!,"AAAAAH5/ulo=")</f>
        <v>#REF!</v>
      </c>
      <c r="CN45" t="e">
        <f>IF('Listado General'!#REF!,"AAAAAH5/uls=",0)</f>
        <v>#REF!</v>
      </c>
      <c r="CO45" t="e">
        <f>AND('Listado General'!#REF!,"AAAAAH5/ulw=")</f>
        <v>#REF!</v>
      </c>
      <c r="CP45" t="e">
        <f>AND('Listado General'!#REF!,"AAAAAH5/ul0=")</f>
        <v>#REF!</v>
      </c>
      <c r="CQ45" t="e">
        <f>AND('Listado General'!#REF!,"AAAAAH5/ul4=")</f>
        <v>#REF!</v>
      </c>
      <c r="CR45" t="e">
        <f>AND('Listado General'!#REF!,"AAAAAH5/ul8=")</f>
        <v>#REF!</v>
      </c>
      <c r="CS45" t="e">
        <f>AND('Listado General'!#REF!,"AAAAAH5/umA=")</f>
        <v>#REF!</v>
      </c>
      <c r="CT45" t="e">
        <f>AND('Listado General'!#REF!,"AAAAAH5/umE=")</f>
        <v>#REF!</v>
      </c>
      <c r="CU45" t="e">
        <f>AND('Listado General'!#REF!,"AAAAAH5/umI=")</f>
        <v>#REF!</v>
      </c>
      <c r="CV45" t="e">
        <f>AND('Listado General'!#REF!,"AAAAAH5/umM=")</f>
        <v>#REF!</v>
      </c>
      <c r="CW45" t="e">
        <f>AND('Listado General'!#REF!,"AAAAAH5/umQ=")</f>
        <v>#REF!</v>
      </c>
      <c r="CX45" t="e">
        <f>IF('Listado General'!#REF!,"AAAAAH5/umU=",0)</f>
        <v>#REF!</v>
      </c>
      <c r="CY45" t="e">
        <f>AND('Listado General'!#REF!,"AAAAAH5/umY=")</f>
        <v>#REF!</v>
      </c>
      <c r="CZ45" t="e">
        <f>AND('Listado General'!#REF!,"AAAAAH5/umc=")</f>
        <v>#REF!</v>
      </c>
      <c r="DA45" t="e">
        <f>AND('Listado General'!#REF!,"AAAAAH5/umg=")</f>
        <v>#REF!</v>
      </c>
      <c r="DB45" t="e">
        <f>AND('Listado General'!#REF!,"AAAAAH5/umk=")</f>
        <v>#REF!</v>
      </c>
      <c r="DC45" t="e">
        <f>AND('Listado General'!#REF!,"AAAAAH5/umo=")</f>
        <v>#REF!</v>
      </c>
      <c r="DD45" t="e">
        <f>AND('Listado General'!#REF!,"AAAAAH5/ums=")</f>
        <v>#REF!</v>
      </c>
      <c r="DE45" t="e">
        <f>AND('Listado General'!#REF!,"AAAAAH5/umw=")</f>
        <v>#REF!</v>
      </c>
      <c r="DF45" t="e">
        <f>AND('Listado General'!#REF!,"AAAAAH5/um0=")</f>
        <v>#REF!</v>
      </c>
      <c r="DG45" t="e">
        <f>AND('Listado General'!#REF!,"AAAAAH5/um4=")</f>
        <v>#REF!</v>
      </c>
      <c r="DH45" t="e">
        <f>IF('Listado General'!#REF!,"AAAAAH5/um8=",0)</f>
        <v>#REF!</v>
      </c>
      <c r="DI45" t="e">
        <f>AND('Listado General'!#REF!,"AAAAAH5/unA=")</f>
        <v>#REF!</v>
      </c>
      <c r="DJ45" t="e">
        <f>AND('Listado General'!#REF!,"AAAAAH5/unE=")</f>
        <v>#REF!</v>
      </c>
      <c r="DK45" t="e">
        <f>AND('Listado General'!#REF!,"AAAAAH5/unI=")</f>
        <v>#REF!</v>
      </c>
      <c r="DL45" t="e">
        <f>AND('Listado General'!#REF!,"AAAAAH5/unM=")</f>
        <v>#REF!</v>
      </c>
      <c r="DM45" t="e">
        <f>AND('Listado General'!#REF!,"AAAAAH5/unQ=")</f>
        <v>#REF!</v>
      </c>
      <c r="DN45" t="e">
        <f>AND('Listado General'!#REF!,"AAAAAH5/unU=")</f>
        <v>#REF!</v>
      </c>
      <c r="DO45" t="e">
        <f>AND('Listado General'!#REF!,"AAAAAH5/unY=")</f>
        <v>#REF!</v>
      </c>
      <c r="DP45" t="e">
        <f>AND('Listado General'!#REF!,"AAAAAH5/unc=")</f>
        <v>#REF!</v>
      </c>
      <c r="DQ45" t="e">
        <f>AND('Listado General'!#REF!,"AAAAAH5/ung=")</f>
        <v>#REF!</v>
      </c>
      <c r="DR45" t="e">
        <f>IF('Listado General'!#REF!,"AAAAAH5/unk=",0)</f>
        <v>#REF!</v>
      </c>
      <c r="DS45" t="e">
        <f>AND('Listado General'!#REF!,"AAAAAH5/uno=")</f>
        <v>#REF!</v>
      </c>
      <c r="DT45" t="e">
        <f>AND('Listado General'!#REF!,"AAAAAH5/uns=")</f>
        <v>#REF!</v>
      </c>
      <c r="DU45" t="e">
        <f>AND('Listado General'!#REF!,"AAAAAH5/unw=")</f>
        <v>#REF!</v>
      </c>
      <c r="DV45" t="e">
        <f>AND('Listado General'!#REF!,"AAAAAH5/un0=")</f>
        <v>#REF!</v>
      </c>
      <c r="DW45" t="e">
        <f>AND('Listado General'!#REF!,"AAAAAH5/un4=")</f>
        <v>#REF!</v>
      </c>
      <c r="DX45" t="e">
        <f>AND('Listado General'!#REF!,"AAAAAH5/un8=")</f>
        <v>#REF!</v>
      </c>
      <c r="DY45" t="e">
        <f>AND('Listado General'!#REF!,"AAAAAH5/uoA=")</f>
        <v>#REF!</v>
      </c>
      <c r="DZ45" t="e">
        <f>AND('Listado General'!#REF!,"AAAAAH5/uoE=")</f>
        <v>#REF!</v>
      </c>
      <c r="EA45" t="e">
        <f>AND('Listado General'!#REF!,"AAAAAH5/uoI=")</f>
        <v>#REF!</v>
      </c>
      <c r="EB45" t="e">
        <f>IF('Listado General'!#REF!,"AAAAAH5/uoM=",0)</f>
        <v>#REF!</v>
      </c>
      <c r="EC45" t="e">
        <f>AND('Listado General'!#REF!,"AAAAAH5/uoQ=")</f>
        <v>#REF!</v>
      </c>
      <c r="ED45" t="e">
        <f>AND('Listado General'!#REF!,"AAAAAH5/uoU=")</f>
        <v>#REF!</v>
      </c>
      <c r="EE45" t="e">
        <f>AND('Listado General'!#REF!,"AAAAAH5/uoY=")</f>
        <v>#REF!</v>
      </c>
      <c r="EF45" t="e">
        <f>AND('Listado General'!#REF!,"AAAAAH5/uoc=")</f>
        <v>#REF!</v>
      </c>
      <c r="EG45" t="e">
        <f>AND('Listado General'!#REF!,"AAAAAH5/uog=")</f>
        <v>#REF!</v>
      </c>
      <c r="EH45" t="e">
        <f>AND('Listado General'!#REF!,"AAAAAH5/uok=")</f>
        <v>#REF!</v>
      </c>
      <c r="EI45" t="e">
        <f>AND('Listado General'!#REF!,"AAAAAH5/uoo=")</f>
        <v>#REF!</v>
      </c>
      <c r="EJ45" t="e">
        <f>AND('Listado General'!#REF!,"AAAAAH5/uos=")</f>
        <v>#REF!</v>
      </c>
      <c r="EK45" t="e">
        <f>AND('Listado General'!#REF!,"AAAAAH5/uow=")</f>
        <v>#REF!</v>
      </c>
      <c r="EL45" t="e">
        <f>IF('Listado General'!#REF!,"AAAAAH5/uo0=",0)</f>
        <v>#REF!</v>
      </c>
      <c r="EM45" t="e">
        <f>AND('Listado General'!#REF!,"AAAAAH5/uo4=")</f>
        <v>#REF!</v>
      </c>
      <c r="EN45" t="e">
        <f>AND('Listado General'!#REF!,"AAAAAH5/uo8=")</f>
        <v>#REF!</v>
      </c>
      <c r="EO45" t="e">
        <f>AND('Listado General'!#REF!,"AAAAAH5/upA=")</f>
        <v>#REF!</v>
      </c>
      <c r="EP45" t="e">
        <f>AND('Listado General'!#REF!,"AAAAAH5/upE=")</f>
        <v>#REF!</v>
      </c>
      <c r="EQ45" t="e">
        <f>AND('Listado General'!#REF!,"AAAAAH5/upI=")</f>
        <v>#REF!</v>
      </c>
      <c r="ER45" t="e">
        <f>AND('Listado General'!#REF!,"AAAAAH5/upM=")</f>
        <v>#REF!</v>
      </c>
      <c r="ES45" t="e">
        <f>AND('Listado General'!#REF!,"AAAAAH5/upQ=")</f>
        <v>#REF!</v>
      </c>
      <c r="ET45" t="e">
        <f>AND('Listado General'!#REF!,"AAAAAH5/upU=")</f>
        <v>#REF!</v>
      </c>
      <c r="EU45" t="e">
        <f>AND('Listado General'!#REF!,"AAAAAH5/upY=")</f>
        <v>#REF!</v>
      </c>
      <c r="EV45" t="e">
        <f>IF('Listado General'!#REF!,"AAAAAH5/upc=",0)</f>
        <v>#REF!</v>
      </c>
      <c r="EW45" t="e">
        <f>AND('Listado General'!#REF!,"AAAAAH5/upg=")</f>
        <v>#REF!</v>
      </c>
      <c r="EX45" t="e">
        <f>AND('Listado General'!#REF!,"AAAAAH5/upk=")</f>
        <v>#REF!</v>
      </c>
      <c r="EY45" t="e">
        <f>AND('Listado General'!#REF!,"AAAAAH5/upo=")</f>
        <v>#REF!</v>
      </c>
      <c r="EZ45" t="e">
        <f>AND('Listado General'!#REF!,"AAAAAH5/ups=")</f>
        <v>#REF!</v>
      </c>
      <c r="FA45" t="e">
        <f>AND('Listado General'!#REF!,"AAAAAH5/upw=")</f>
        <v>#REF!</v>
      </c>
      <c r="FB45" t="e">
        <f>AND('Listado General'!#REF!,"AAAAAH5/up0=")</f>
        <v>#REF!</v>
      </c>
      <c r="FC45" t="e">
        <f>AND('Listado General'!#REF!,"AAAAAH5/up4=")</f>
        <v>#REF!</v>
      </c>
      <c r="FD45" t="e">
        <f>AND('Listado General'!#REF!,"AAAAAH5/up8=")</f>
        <v>#REF!</v>
      </c>
      <c r="FE45" t="e">
        <f>AND('Listado General'!#REF!,"AAAAAH5/uqA=")</f>
        <v>#REF!</v>
      </c>
      <c r="FF45" t="e">
        <f>IF('Listado General'!#REF!,"AAAAAH5/uqE=",0)</f>
        <v>#REF!</v>
      </c>
      <c r="FG45" t="e">
        <f>AND('Listado General'!#REF!,"AAAAAH5/uqI=")</f>
        <v>#REF!</v>
      </c>
      <c r="FH45" t="e">
        <f>AND('Listado General'!#REF!,"AAAAAH5/uqM=")</f>
        <v>#REF!</v>
      </c>
      <c r="FI45" t="e">
        <f>AND('Listado General'!#REF!,"AAAAAH5/uqQ=")</f>
        <v>#REF!</v>
      </c>
      <c r="FJ45" t="e">
        <f>AND('Listado General'!#REF!,"AAAAAH5/uqU=")</f>
        <v>#REF!</v>
      </c>
      <c r="FK45" t="e">
        <f>AND('Listado General'!#REF!,"AAAAAH5/uqY=")</f>
        <v>#REF!</v>
      </c>
      <c r="FL45" t="e">
        <f>AND('Listado General'!#REF!,"AAAAAH5/uqc=")</f>
        <v>#REF!</v>
      </c>
      <c r="FM45" t="e">
        <f>AND('Listado General'!#REF!,"AAAAAH5/uqg=")</f>
        <v>#REF!</v>
      </c>
      <c r="FN45" t="e">
        <f>AND('Listado General'!#REF!,"AAAAAH5/uqk=")</f>
        <v>#REF!</v>
      </c>
      <c r="FO45" t="e">
        <f>AND('Listado General'!#REF!,"AAAAAH5/uqo=")</f>
        <v>#REF!</v>
      </c>
      <c r="FP45" t="e">
        <f>IF('Listado General'!#REF!,"AAAAAH5/uqs=",0)</f>
        <v>#REF!</v>
      </c>
      <c r="FQ45" t="e">
        <f>AND('Listado General'!#REF!,"AAAAAH5/uqw=")</f>
        <v>#REF!</v>
      </c>
      <c r="FR45" t="e">
        <f>AND('Listado General'!#REF!,"AAAAAH5/uq0=")</f>
        <v>#REF!</v>
      </c>
      <c r="FS45" t="e">
        <f>AND('Listado General'!#REF!,"AAAAAH5/uq4=")</f>
        <v>#REF!</v>
      </c>
      <c r="FT45" t="e">
        <f>AND('Listado General'!#REF!,"AAAAAH5/uq8=")</f>
        <v>#REF!</v>
      </c>
      <c r="FU45" t="e">
        <f>AND('Listado General'!#REF!,"AAAAAH5/urA=")</f>
        <v>#REF!</v>
      </c>
      <c r="FV45" t="e">
        <f>AND('Listado General'!#REF!,"AAAAAH5/urE=")</f>
        <v>#REF!</v>
      </c>
      <c r="FW45" t="e">
        <f>AND('Listado General'!#REF!,"AAAAAH5/urI=")</f>
        <v>#REF!</v>
      </c>
      <c r="FX45" t="e">
        <f>AND('Listado General'!#REF!,"AAAAAH5/urM=")</f>
        <v>#REF!</v>
      </c>
      <c r="FY45" t="e">
        <f>AND('Listado General'!#REF!,"AAAAAH5/urQ=")</f>
        <v>#REF!</v>
      </c>
      <c r="FZ45" t="e">
        <f>IF('Listado General'!#REF!,"AAAAAH5/urU=",0)</f>
        <v>#REF!</v>
      </c>
      <c r="GA45" t="e">
        <f>AND('Listado General'!#REF!,"AAAAAH5/urY=")</f>
        <v>#REF!</v>
      </c>
      <c r="GB45" t="e">
        <f>AND('Listado General'!#REF!,"AAAAAH5/urc=")</f>
        <v>#REF!</v>
      </c>
      <c r="GC45" t="e">
        <f>AND('Listado General'!#REF!,"AAAAAH5/urg=")</f>
        <v>#REF!</v>
      </c>
      <c r="GD45" t="e">
        <f>AND('Listado General'!#REF!,"AAAAAH5/urk=")</f>
        <v>#REF!</v>
      </c>
      <c r="GE45" t="e">
        <f>AND('Listado General'!#REF!,"AAAAAH5/uro=")</f>
        <v>#REF!</v>
      </c>
      <c r="GF45" t="e">
        <f>AND('Listado General'!#REF!,"AAAAAH5/urs=")</f>
        <v>#REF!</v>
      </c>
      <c r="GG45" t="e">
        <f>AND('Listado General'!#REF!,"AAAAAH5/urw=")</f>
        <v>#REF!</v>
      </c>
      <c r="GH45" t="e">
        <f>AND('Listado General'!#REF!,"AAAAAH5/ur0=")</f>
        <v>#REF!</v>
      </c>
      <c r="GI45" t="e">
        <f>AND('Listado General'!#REF!,"AAAAAH5/ur4=")</f>
        <v>#REF!</v>
      </c>
      <c r="GJ45" t="e">
        <f>IF('Listado General'!#REF!,"AAAAAH5/ur8=",0)</f>
        <v>#REF!</v>
      </c>
      <c r="GK45" t="e">
        <f>AND('Listado General'!#REF!,"AAAAAH5/usA=")</f>
        <v>#REF!</v>
      </c>
      <c r="GL45" t="e">
        <f>AND('Listado General'!#REF!,"AAAAAH5/usE=")</f>
        <v>#REF!</v>
      </c>
      <c r="GM45" t="e">
        <f>AND('Listado General'!#REF!,"AAAAAH5/usI=")</f>
        <v>#REF!</v>
      </c>
      <c r="GN45" t="e">
        <f>AND('Listado General'!#REF!,"AAAAAH5/usM=")</f>
        <v>#REF!</v>
      </c>
      <c r="GO45" t="e">
        <f>AND('Listado General'!#REF!,"AAAAAH5/usQ=")</f>
        <v>#REF!</v>
      </c>
      <c r="GP45" t="e">
        <f>AND('Listado General'!#REF!,"AAAAAH5/usU=")</f>
        <v>#REF!</v>
      </c>
      <c r="GQ45" t="e">
        <f>AND('Listado General'!#REF!,"AAAAAH5/usY=")</f>
        <v>#REF!</v>
      </c>
      <c r="GR45" t="e">
        <f>AND('Listado General'!#REF!,"AAAAAH5/usc=")</f>
        <v>#REF!</v>
      </c>
      <c r="GS45" t="e">
        <f>AND('Listado General'!#REF!,"AAAAAH5/usg=")</f>
        <v>#REF!</v>
      </c>
      <c r="GT45" t="e">
        <f>IF('Listado General'!#REF!,"AAAAAH5/usk=",0)</f>
        <v>#REF!</v>
      </c>
      <c r="GU45" t="e">
        <f>AND('Listado General'!#REF!,"AAAAAH5/uso=")</f>
        <v>#REF!</v>
      </c>
      <c r="GV45" t="e">
        <f>AND('Listado General'!#REF!,"AAAAAH5/uss=")</f>
        <v>#REF!</v>
      </c>
      <c r="GW45" t="e">
        <f>AND('Listado General'!#REF!,"AAAAAH5/usw=")</f>
        <v>#REF!</v>
      </c>
      <c r="GX45" t="e">
        <f>AND('Listado General'!#REF!,"AAAAAH5/us0=")</f>
        <v>#REF!</v>
      </c>
      <c r="GY45" t="e">
        <f>AND('Listado General'!#REF!,"AAAAAH5/us4=")</f>
        <v>#REF!</v>
      </c>
      <c r="GZ45" t="e">
        <f>AND('Listado General'!#REF!,"AAAAAH5/us8=")</f>
        <v>#REF!</v>
      </c>
      <c r="HA45" t="e">
        <f>AND('Listado General'!#REF!,"AAAAAH5/utA=")</f>
        <v>#REF!</v>
      </c>
      <c r="HB45" t="e">
        <f>AND('Listado General'!#REF!,"AAAAAH5/utE=")</f>
        <v>#REF!</v>
      </c>
      <c r="HC45" t="e">
        <f>AND('Listado General'!#REF!,"AAAAAH5/utI=")</f>
        <v>#REF!</v>
      </c>
      <c r="HD45" t="e">
        <f>IF('Listado General'!#REF!,"AAAAAH5/utM=",0)</f>
        <v>#REF!</v>
      </c>
      <c r="HE45" t="e">
        <f>AND('Listado General'!#REF!,"AAAAAH5/utQ=")</f>
        <v>#REF!</v>
      </c>
      <c r="HF45" t="e">
        <f>AND('Listado General'!#REF!,"AAAAAH5/utU=")</f>
        <v>#REF!</v>
      </c>
      <c r="HG45" t="e">
        <f>AND('Listado General'!#REF!,"AAAAAH5/utY=")</f>
        <v>#REF!</v>
      </c>
      <c r="HH45" t="e">
        <f>AND('Listado General'!#REF!,"AAAAAH5/utc=")</f>
        <v>#REF!</v>
      </c>
      <c r="HI45" t="e">
        <f>AND('Listado General'!#REF!,"AAAAAH5/utg=")</f>
        <v>#REF!</v>
      </c>
      <c r="HJ45" t="e">
        <f>AND('Listado General'!#REF!,"AAAAAH5/utk=")</f>
        <v>#REF!</v>
      </c>
      <c r="HK45" t="e">
        <f>AND('Listado General'!#REF!,"AAAAAH5/uto=")</f>
        <v>#REF!</v>
      </c>
      <c r="HL45" t="e">
        <f>AND('Listado General'!#REF!,"AAAAAH5/uts=")</f>
        <v>#REF!</v>
      </c>
      <c r="HM45" t="e">
        <f>AND('Listado General'!#REF!,"AAAAAH5/utw=")</f>
        <v>#REF!</v>
      </c>
      <c r="HN45" t="e">
        <f>IF('Listado General'!#REF!,"AAAAAH5/ut0=",0)</f>
        <v>#REF!</v>
      </c>
      <c r="HO45" t="e">
        <f>AND('Listado General'!#REF!,"AAAAAH5/ut4=")</f>
        <v>#REF!</v>
      </c>
      <c r="HP45" t="e">
        <f>AND('Listado General'!#REF!,"AAAAAH5/ut8=")</f>
        <v>#REF!</v>
      </c>
      <c r="HQ45" t="e">
        <f>AND('Listado General'!#REF!,"AAAAAH5/uuA=")</f>
        <v>#REF!</v>
      </c>
      <c r="HR45" t="e">
        <f>AND('Listado General'!#REF!,"AAAAAH5/uuE=")</f>
        <v>#REF!</v>
      </c>
      <c r="HS45" t="e">
        <f>AND('Listado General'!#REF!,"AAAAAH5/uuI=")</f>
        <v>#REF!</v>
      </c>
      <c r="HT45" t="e">
        <f>AND('Listado General'!#REF!,"AAAAAH5/uuM=")</f>
        <v>#REF!</v>
      </c>
      <c r="HU45" t="e">
        <f>AND('Listado General'!#REF!,"AAAAAH5/uuQ=")</f>
        <v>#REF!</v>
      </c>
      <c r="HV45" t="e">
        <f>AND('Listado General'!#REF!,"AAAAAH5/uuU=")</f>
        <v>#REF!</v>
      </c>
      <c r="HW45" t="e">
        <f>AND('Listado General'!#REF!,"AAAAAH5/uuY=")</f>
        <v>#REF!</v>
      </c>
      <c r="HX45" t="e">
        <f>IF('Listado General'!#REF!,"AAAAAH5/uuc=",0)</f>
        <v>#REF!</v>
      </c>
      <c r="HY45" t="e">
        <f>AND('Listado General'!#REF!,"AAAAAH5/uug=")</f>
        <v>#REF!</v>
      </c>
      <c r="HZ45" t="e">
        <f>AND('Listado General'!#REF!,"AAAAAH5/uuk=")</f>
        <v>#REF!</v>
      </c>
      <c r="IA45" t="e">
        <f>AND('Listado General'!#REF!,"AAAAAH5/uuo=")</f>
        <v>#REF!</v>
      </c>
      <c r="IB45" t="e">
        <f>AND('Listado General'!#REF!,"AAAAAH5/uus=")</f>
        <v>#REF!</v>
      </c>
      <c r="IC45" t="e">
        <f>AND('Listado General'!#REF!,"AAAAAH5/uuw=")</f>
        <v>#REF!</v>
      </c>
      <c r="ID45" t="e">
        <f>AND('Listado General'!#REF!,"AAAAAH5/uu0=")</f>
        <v>#REF!</v>
      </c>
      <c r="IE45" t="e">
        <f>AND('Listado General'!#REF!,"AAAAAH5/uu4=")</f>
        <v>#REF!</v>
      </c>
      <c r="IF45" t="e">
        <f>AND('Listado General'!#REF!,"AAAAAH5/uu8=")</f>
        <v>#REF!</v>
      </c>
      <c r="IG45" t="e">
        <f>AND('Listado General'!#REF!,"AAAAAH5/uvA=")</f>
        <v>#REF!</v>
      </c>
      <c r="IH45" t="e">
        <f>IF('Listado General'!#REF!,"AAAAAH5/uvE=",0)</f>
        <v>#REF!</v>
      </c>
      <c r="II45" t="e">
        <f>AND('Listado General'!#REF!,"AAAAAH5/uvI=")</f>
        <v>#REF!</v>
      </c>
      <c r="IJ45" t="e">
        <f>AND('Listado General'!#REF!,"AAAAAH5/uvM=")</f>
        <v>#REF!</v>
      </c>
      <c r="IK45" t="e">
        <f>AND('Listado General'!#REF!,"AAAAAH5/uvQ=")</f>
        <v>#REF!</v>
      </c>
      <c r="IL45" t="e">
        <f>AND('Listado General'!#REF!,"AAAAAH5/uvU=")</f>
        <v>#REF!</v>
      </c>
      <c r="IM45" t="e">
        <f>AND('Listado General'!#REF!,"AAAAAH5/uvY=")</f>
        <v>#REF!</v>
      </c>
      <c r="IN45" t="e">
        <f>AND('Listado General'!#REF!,"AAAAAH5/uvc=")</f>
        <v>#REF!</v>
      </c>
      <c r="IO45" t="e">
        <f>AND('Listado General'!#REF!,"AAAAAH5/uvg=")</f>
        <v>#REF!</v>
      </c>
      <c r="IP45" t="e">
        <f>AND('Listado General'!#REF!,"AAAAAH5/uvk=")</f>
        <v>#REF!</v>
      </c>
      <c r="IQ45" t="e">
        <f>AND('Listado General'!#REF!,"AAAAAH5/uvo=")</f>
        <v>#REF!</v>
      </c>
      <c r="IR45" t="e">
        <f>IF('Listado General'!#REF!,"AAAAAH5/uvs=",0)</f>
        <v>#REF!</v>
      </c>
      <c r="IS45" t="e">
        <f>AND('Listado General'!#REF!,"AAAAAH5/uvw=")</f>
        <v>#REF!</v>
      </c>
      <c r="IT45" t="e">
        <f>AND('Listado General'!#REF!,"AAAAAH5/uv0=")</f>
        <v>#REF!</v>
      </c>
      <c r="IU45" t="e">
        <f>AND('Listado General'!#REF!,"AAAAAH5/uv4=")</f>
        <v>#REF!</v>
      </c>
      <c r="IV45" t="e">
        <f>AND('Listado General'!#REF!,"AAAAAH5/uv8=")</f>
        <v>#REF!</v>
      </c>
    </row>
    <row r="46" spans="1:256" ht="12.75">
      <c r="A46" t="e">
        <f>AND('Listado General'!#REF!,"AAAAAD657wA=")</f>
        <v>#REF!</v>
      </c>
      <c r="B46" t="e">
        <f>AND('Listado General'!#REF!,"AAAAAD657wE=")</f>
        <v>#REF!</v>
      </c>
      <c r="C46" t="e">
        <f>AND('Listado General'!#REF!,"AAAAAD657wI=")</f>
        <v>#REF!</v>
      </c>
      <c r="D46" t="e">
        <f>AND('Listado General'!#REF!,"AAAAAD657wM=")</f>
        <v>#REF!</v>
      </c>
      <c r="E46" t="e">
        <f>AND('Listado General'!#REF!,"AAAAAD657wQ=")</f>
        <v>#REF!</v>
      </c>
      <c r="F46" t="e">
        <f>IF('Listado General'!#REF!,"AAAAAD657wU=",0)</f>
        <v>#REF!</v>
      </c>
      <c r="G46" t="e">
        <f>AND('Listado General'!#REF!,"AAAAAD657wY=")</f>
        <v>#REF!</v>
      </c>
      <c r="H46" t="e">
        <f>AND('Listado General'!#REF!,"AAAAAD657wc=")</f>
        <v>#REF!</v>
      </c>
      <c r="I46" t="e">
        <f>AND('Listado General'!#REF!,"AAAAAD657wg=")</f>
        <v>#REF!</v>
      </c>
      <c r="J46" t="e">
        <f>AND('Listado General'!#REF!,"AAAAAD657wk=")</f>
        <v>#REF!</v>
      </c>
      <c r="K46" t="e">
        <f>AND('Listado General'!#REF!,"AAAAAD657wo=")</f>
        <v>#REF!</v>
      </c>
      <c r="L46" t="e">
        <f>AND('Listado General'!#REF!,"AAAAAD657ws=")</f>
        <v>#REF!</v>
      </c>
      <c r="M46" t="e">
        <f>AND('Listado General'!#REF!,"AAAAAD657ww=")</f>
        <v>#REF!</v>
      </c>
      <c r="N46" t="e">
        <f>AND('Listado General'!#REF!,"AAAAAD657w0=")</f>
        <v>#REF!</v>
      </c>
      <c r="O46" t="e">
        <f>AND('Listado General'!#REF!,"AAAAAD657w4=")</f>
        <v>#REF!</v>
      </c>
      <c r="P46" t="e">
        <f>IF('Listado General'!#REF!,"AAAAAD657w8=",0)</f>
        <v>#REF!</v>
      </c>
      <c r="Q46" t="e">
        <f>AND('Listado General'!#REF!,"AAAAAD657xA=")</f>
        <v>#REF!</v>
      </c>
      <c r="R46" t="e">
        <f>AND('Listado General'!#REF!,"AAAAAD657xE=")</f>
        <v>#REF!</v>
      </c>
      <c r="S46" t="e">
        <f>AND('Listado General'!#REF!,"AAAAAD657xI=")</f>
        <v>#REF!</v>
      </c>
      <c r="T46" t="e">
        <f>AND('Listado General'!#REF!,"AAAAAD657xM=")</f>
        <v>#REF!</v>
      </c>
      <c r="U46" t="e">
        <f>AND('Listado General'!#REF!,"AAAAAD657xQ=")</f>
        <v>#REF!</v>
      </c>
      <c r="V46" t="e">
        <f>AND('Listado General'!#REF!,"AAAAAD657xU=")</f>
        <v>#REF!</v>
      </c>
      <c r="W46" t="e">
        <f>AND('Listado General'!#REF!,"AAAAAD657xY=")</f>
        <v>#REF!</v>
      </c>
      <c r="X46" t="e">
        <f>AND('Listado General'!#REF!,"AAAAAD657xc=")</f>
        <v>#REF!</v>
      </c>
      <c r="Y46" t="e">
        <f>AND('Listado General'!#REF!,"AAAAAD657xg=")</f>
        <v>#REF!</v>
      </c>
      <c r="Z46" t="e">
        <f>IF('Listado General'!#REF!,"AAAAAD657xk=",0)</f>
        <v>#REF!</v>
      </c>
      <c r="AA46" t="e">
        <f>AND('Listado General'!#REF!,"AAAAAD657xo=")</f>
        <v>#REF!</v>
      </c>
      <c r="AB46" t="e">
        <f>AND('Listado General'!#REF!,"AAAAAD657xs=")</f>
        <v>#REF!</v>
      </c>
      <c r="AC46" t="e">
        <f>AND('Listado General'!#REF!,"AAAAAD657xw=")</f>
        <v>#REF!</v>
      </c>
      <c r="AD46" t="e">
        <f>AND('Listado General'!#REF!,"AAAAAD657x0=")</f>
        <v>#REF!</v>
      </c>
      <c r="AE46" t="e">
        <f>AND('Listado General'!#REF!,"AAAAAD657x4=")</f>
        <v>#REF!</v>
      </c>
      <c r="AF46" t="e">
        <f>AND('Listado General'!#REF!,"AAAAAD657x8=")</f>
        <v>#REF!</v>
      </c>
      <c r="AG46" t="e">
        <f>AND('Listado General'!#REF!,"AAAAAD657yA=")</f>
        <v>#REF!</v>
      </c>
      <c r="AH46" t="e">
        <f>AND('Listado General'!#REF!,"AAAAAD657yE=")</f>
        <v>#REF!</v>
      </c>
      <c r="AI46" t="e">
        <f>AND('Listado General'!#REF!,"AAAAAD657yI=")</f>
        <v>#REF!</v>
      </c>
      <c r="AJ46" t="e">
        <f>IF('Listado General'!#REF!,"AAAAAD657yM=",0)</f>
        <v>#REF!</v>
      </c>
      <c r="AK46" t="e">
        <f>AND('Listado General'!#REF!,"AAAAAD657yQ=")</f>
        <v>#REF!</v>
      </c>
      <c r="AL46" t="e">
        <f>AND('Listado General'!#REF!,"AAAAAD657yU=")</f>
        <v>#REF!</v>
      </c>
      <c r="AM46" t="e">
        <f>AND('Listado General'!#REF!,"AAAAAD657yY=")</f>
        <v>#REF!</v>
      </c>
      <c r="AN46" t="e">
        <f>AND('Listado General'!#REF!,"AAAAAD657yc=")</f>
        <v>#REF!</v>
      </c>
      <c r="AO46" t="e">
        <f>AND('Listado General'!#REF!,"AAAAAD657yg=")</f>
        <v>#REF!</v>
      </c>
      <c r="AP46" t="e">
        <f>AND('Listado General'!#REF!,"AAAAAD657yk=")</f>
        <v>#REF!</v>
      </c>
      <c r="AQ46" t="e">
        <f>AND('Listado General'!#REF!,"AAAAAD657yo=")</f>
        <v>#REF!</v>
      </c>
      <c r="AR46" t="e">
        <f>AND('Listado General'!#REF!,"AAAAAD657ys=")</f>
        <v>#REF!</v>
      </c>
      <c r="AS46" t="e">
        <f>AND('Listado General'!#REF!,"AAAAAD657yw=")</f>
        <v>#REF!</v>
      </c>
      <c r="AT46" t="e">
        <f>IF('Listado General'!#REF!,"AAAAAD657y0=",0)</f>
        <v>#REF!</v>
      </c>
      <c r="AU46" t="e">
        <f>AND('Listado General'!#REF!,"AAAAAD657y4=")</f>
        <v>#REF!</v>
      </c>
      <c r="AV46" t="e">
        <f>AND('Listado General'!#REF!,"AAAAAD657y8=")</f>
        <v>#REF!</v>
      </c>
      <c r="AW46" t="e">
        <f>AND('Listado General'!#REF!,"AAAAAD657zA=")</f>
        <v>#REF!</v>
      </c>
      <c r="AX46" t="e">
        <f>AND('Listado General'!#REF!,"AAAAAD657zE=")</f>
        <v>#REF!</v>
      </c>
      <c r="AY46" t="e">
        <f>AND('Listado General'!#REF!,"AAAAAD657zI=")</f>
        <v>#REF!</v>
      </c>
      <c r="AZ46" t="e">
        <f>AND('Listado General'!#REF!,"AAAAAD657zM=")</f>
        <v>#REF!</v>
      </c>
      <c r="BA46" t="e">
        <f>AND('Listado General'!#REF!,"AAAAAD657zQ=")</f>
        <v>#REF!</v>
      </c>
      <c r="BB46" t="e">
        <f>AND('Listado General'!#REF!,"AAAAAD657zU=")</f>
        <v>#REF!</v>
      </c>
      <c r="BC46" t="e">
        <f>AND('Listado General'!#REF!,"AAAAAD657zY=")</f>
        <v>#REF!</v>
      </c>
      <c r="BD46" t="e">
        <f>IF('Listado General'!#REF!,"AAAAAD657zc=",0)</f>
        <v>#REF!</v>
      </c>
      <c r="BE46" t="e">
        <f>AND('Listado General'!#REF!,"AAAAAD657zg=")</f>
        <v>#REF!</v>
      </c>
      <c r="BF46" t="e">
        <f>AND('Listado General'!#REF!,"AAAAAD657zk=")</f>
        <v>#REF!</v>
      </c>
      <c r="BG46" t="e">
        <f>AND('Listado General'!#REF!,"AAAAAD657zo=")</f>
        <v>#REF!</v>
      </c>
      <c r="BH46" t="e">
        <f>AND('Listado General'!#REF!,"AAAAAD657zs=")</f>
        <v>#REF!</v>
      </c>
      <c r="BI46" t="e">
        <f>AND('Listado General'!#REF!,"AAAAAD657zw=")</f>
        <v>#REF!</v>
      </c>
      <c r="BJ46" t="e">
        <f>AND('Listado General'!#REF!,"AAAAAD657z0=")</f>
        <v>#REF!</v>
      </c>
      <c r="BK46" t="e">
        <f>AND('Listado General'!#REF!,"AAAAAD657z4=")</f>
        <v>#REF!</v>
      </c>
      <c r="BL46" t="e">
        <f>AND('Listado General'!#REF!,"AAAAAD657z8=")</f>
        <v>#REF!</v>
      </c>
      <c r="BM46" t="e">
        <f>AND('Listado General'!#REF!,"AAAAAD6570A=")</f>
        <v>#REF!</v>
      </c>
      <c r="BN46" t="e">
        <f>IF('Listado General'!#REF!,"AAAAAD6570E=",0)</f>
        <v>#REF!</v>
      </c>
      <c r="BO46" t="e">
        <f>AND('Listado General'!#REF!,"AAAAAD6570I=")</f>
        <v>#REF!</v>
      </c>
      <c r="BP46" t="e">
        <f>AND('Listado General'!#REF!,"AAAAAD6570M=")</f>
        <v>#REF!</v>
      </c>
      <c r="BQ46" t="e">
        <f>AND('Listado General'!#REF!,"AAAAAD6570Q=")</f>
        <v>#REF!</v>
      </c>
      <c r="BR46" t="e">
        <f>AND('Listado General'!#REF!,"AAAAAD6570U=")</f>
        <v>#REF!</v>
      </c>
      <c r="BS46" t="e">
        <f>AND('Listado General'!#REF!,"AAAAAD6570Y=")</f>
        <v>#REF!</v>
      </c>
      <c r="BT46" t="e">
        <f>AND('Listado General'!#REF!,"AAAAAD6570c=")</f>
        <v>#REF!</v>
      </c>
      <c r="BU46" t="e">
        <f>AND('Listado General'!#REF!,"AAAAAD6570g=")</f>
        <v>#REF!</v>
      </c>
      <c r="BV46" t="e">
        <f>AND('Listado General'!#REF!,"AAAAAD6570k=")</f>
        <v>#REF!</v>
      </c>
      <c r="BW46" t="e">
        <f>AND('Listado General'!#REF!,"AAAAAD6570o=")</f>
        <v>#REF!</v>
      </c>
      <c r="BX46" t="e">
        <f>IF('Listado General'!#REF!,"AAAAAD6570s=",0)</f>
        <v>#REF!</v>
      </c>
      <c r="BY46" t="e">
        <f>AND('Listado General'!#REF!,"AAAAAD6570w=")</f>
        <v>#REF!</v>
      </c>
      <c r="BZ46" t="e">
        <f>AND('Listado General'!#REF!,"AAAAAD65700=")</f>
        <v>#REF!</v>
      </c>
      <c r="CA46" t="e">
        <f>AND('Listado General'!#REF!,"AAAAAD65704=")</f>
        <v>#REF!</v>
      </c>
      <c r="CB46" t="e">
        <f>AND('Listado General'!#REF!,"AAAAAD65708=")</f>
        <v>#REF!</v>
      </c>
      <c r="CC46" t="e">
        <f>AND('Listado General'!#REF!,"AAAAAD6571A=")</f>
        <v>#REF!</v>
      </c>
      <c r="CD46" t="e">
        <f>AND('Listado General'!#REF!,"AAAAAD6571E=")</f>
        <v>#REF!</v>
      </c>
      <c r="CE46" t="e">
        <f>AND('Listado General'!#REF!,"AAAAAD6571I=")</f>
        <v>#REF!</v>
      </c>
      <c r="CF46" t="e">
        <f>AND('Listado General'!#REF!,"AAAAAD6571M=")</f>
        <v>#REF!</v>
      </c>
      <c r="CG46" t="e">
        <f>AND('Listado General'!#REF!,"AAAAAD6571Q=")</f>
        <v>#REF!</v>
      </c>
      <c r="CH46" t="e">
        <f>IF('Listado General'!#REF!,"AAAAAD6571U=",0)</f>
        <v>#REF!</v>
      </c>
      <c r="CI46" t="e">
        <f>AND('Listado General'!#REF!,"AAAAAD6571Y=")</f>
        <v>#REF!</v>
      </c>
      <c r="CJ46" t="e">
        <f>AND('Listado General'!#REF!,"AAAAAD6571c=")</f>
        <v>#REF!</v>
      </c>
      <c r="CK46" t="e">
        <f>AND('Listado General'!#REF!,"AAAAAD6571g=")</f>
        <v>#REF!</v>
      </c>
      <c r="CL46" t="e">
        <f>AND('Listado General'!#REF!,"AAAAAD6571k=")</f>
        <v>#REF!</v>
      </c>
      <c r="CM46" t="e">
        <f>AND('Listado General'!#REF!,"AAAAAD6571o=")</f>
        <v>#REF!</v>
      </c>
      <c r="CN46" t="e">
        <f>AND('Listado General'!#REF!,"AAAAAD6571s=")</f>
        <v>#REF!</v>
      </c>
      <c r="CO46" t="e">
        <f>AND('Listado General'!#REF!,"AAAAAD6571w=")</f>
        <v>#REF!</v>
      </c>
      <c r="CP46" t="e">
        <f>AND('Listado General'!#REF!,"AAAAAD65710=")</f>
        <v>#REF!</v>
      </c>
      <c r="CQ46" t="e">
        <f>AND('Listado General'!#REF!,"AAAAAD65714=")</f>
        <v>#REF!</v>
      </c>
      <c r="CR46" t="e">
        <f>IF('Listado General'!#REF!,"AAAAAD65718=",0)</f>
        <v>#REF!</v>
      </c>
      <c r="CS46" t="e">
        <f>AND('Listado General'!#REF!,"AAAAAD6572A=")</f>
        <v>#REF!</v>
      </c>
      <c r="CT46" t="e">
        <f>AND('Listado General'!#REF!,"AAAAAD6572E=")</f>
        <v>#REF!</v>
      </c>
      <c r="CU46" t="e">
        <f>AND('Listado General'!#REF!,"AAAAAD6572I=")</f>
        <v>#REF!</v>
      </c>
      <c r="CV46" t="e">
        <f>AND('Listado General'!#REF!,"AAAAAD6572M=")</f>
        <v>#REF!</v>
      </c>
      <c r="CW46" t="e">
        <f>AND('Listado General'!#REF!,"AAAAAD6572Q=")</f>
        <v>#REF!</v>
      </c>
      <c r="CX46" t="e">
        <f>AND('Listado General'!#REF!,"AAAAAD6572U=")</f>
        <v>#REF!</v>
      </c>
      <c r="CY46" t="e">
        <f>AND('Listado General'!#REF!,"AAAAAD6572Y=")</f>
        <v>#REF!</v>
      </c>
      <c r="CZ46" t="e">
        <f>AND('Listado General'!#REF!,"AAAAAD6572c=")</f>
        <v>#REF!</v>
      </c>
      <c r="DA46" t="e">
        <f>AND('Listado General'!#REF!,"AAAAAD6572g=")</f>
        <v>#REF!</v>
      </c>
      <c r="DB46" t="e">
        <f>IF('Listado General'!#REF!,"AAAAAD6572k=",0)</f>
        <v>#REF!</v>
      </c>
      <c r="DC46" t="e">
        <f>AND('Listado General'!#REF!,"AAAAAD6572o=")</f>
        <v>#REF!</v>
      </c>
      <c r="DD46" t="e">
        <f>AND('Listado General'!#REF!,"AAAAAD6572s=")</f>
        <v>#REF!</v>
      </c>
      <c r="DE46" t="e">
        <f>AND('Listado General'!#REF!,"AAAAAD6572w=")</f>
        <v>#REF!</v>
      </c>
      <c r="DF46" t="e">
        <f>AND('Listado General'!#REF!,"AAAAAD65720=")</f>
        <v>#REF!</v>
      </c>
      <c r="DG46" t="e">
        <f>AND('Listado General'!#REF!,"AAAAAD65724=")</f>
        <v>#REF!</v>
      </c>
      <c r="DH46" t="e">
        <f>AND('Listado General'!#REF!,"AAAAAD65728=")</f>
        <v>#REF!</v>
      </c>
      <c r="DI46" t="e">
        <f>AND('Listado General'!#REF!,"AAAAAD6573A=")</f>
        <v>#REF!</v>
      </c>
      <c r="DJ46" t="e">
        <f>AND('Listado General'!#REF!,"AAAAAD6573E=")</f>
        <v>#REF!</v>
      </c>
      <c r="DK46" t="e">
        <f>AND('Listado General'!#REF!,"AAAAAD6573I=")</f>
        <v>#REF!</v>
      </c>
      <c r="DL46" t="e">
        <f>IF('Listado General'!#REF!,"AAAAAD6573M=",0)</f>
        <v>#REF!</v>
      </c>
      <c r="DM46" t="e">
        <f>AND('Listado General'!#REF!,"AAAAAD6573Q=")</f>
        <v>#REF!</v>
      </c>
      <c r="DN46" t="e">
        <f>AND('Listado General'!#REF!,"AAAAAD6573U=")</f>
        <v>#REF!</v>
      </c>
      <c r="DO46" t="e">
        <f>AND('Listado General'!#REF!,"AAAAAD6573Y=")</f>
        <v>#REF!</v>
      </c>
      <c r="DP46" t="e">
        <f>AND('Listado General'!#REF!,"AAAAAD6573c=")</f>
        <v>#REF!</v>
      </c>
      <c r="DQ46" t="e">
        <f>AND('Listado General'!#REF!,"AAAAAD6573g=")</f>
        <v>#REF!</v>
      </c>
      <c r="DR46" t="e">
        <f>AND('Listado General'!#REF!,"AAAAAD6573k=")</f>
        <v>#REF!</v>
      </c>
      <c r="DS46" t="e">
        <f>AND('Listado General'!#REF!,"AAAAAD6573o=")</f>
        <v>#REF!</v>
      </c>
      <c r="DT46" t="e">
        <f>AND('Listado General'!#REF!,"AAAAAD6573s=")</f>
        <v>#REF!</v>
      </c>
      <c r="DU46" t="e">
        <f>AND('Listado General'!#REF!,"AAAAAD6573w=")</f>
        <v>#REF!</v>
      </c>
      <c r="DV46" t="e">
        <f>IF('Listado General'!#REF!,"AAAAAD65730=",0)</f>
        <v>#REF!</v>
      </c>
      <c r="DW46" t="e">
        <f>AND('Listado General'!#REF!,"AAAAAD65734=")</f>
        <v>#REF!</v>
      </c>
      <c r="DX46" t="e">
        <f>AND('Listado General'!#REF!,"AAAAAD65738=")</f>
        <v>#REF!</v>
      </c>
      <c r="DY46" t="e">
        <f>AND('Listado General'!#REF!,"AAAAAD6574A=")</f>
        <v>#REF!</v>
      </c>
      <c r="DZ46" t="e">
        <f>AND('Listado General'!#REF!,"AAAAAD6574E=")</f>
        <v>#REF!</v>
      </c>
      <c r="EA46" t="e">
        <f>AND('Listado General'!#REF!,"AAAAAD6574I=")</f>
        <v>#REF!</v>
      </c>
      <c r="EB46" t="e">
        <f>AND('Listado General'!#REF!,"AAAAAD6574M=")</f>
        <v>#REF!</v>
      </c>
      <c r="EC46" t="e">
        <f>AND('Listado General'!#REF!,"AAAAAD6574Q=")</f>
        <v>#REF!</v>
      </c>
      <c r="ED46" t="e">
        <f>AND('Listado General'!#REF!,"AAAAAD6574U=")</f>
        <v>#REF!</v>
      </c>
      <c r="EE46" t="e">
        <f>AND('Listado General'!#REF!,"AAAAAD6574Y=")</f>
        <v>#REF!</v>
      </c>
      <c r="EF46" t="e">
        <f>IF('Listado General'!#REF!,"AAAAAD6574c=",0)</f>
        <v>#REF!</v>
      </c>
      <c r="EG46" t="e">
        <f>AND('Listado General'!#REF!,"AAAAAD6574g=")</f>
        <v>#REF!</v>
      </c>
      <c r="EH46" t="e">
        <f>AND('Listado General'!#REF!,"AAAAAD6574k=")</f>
        <v>#REF!</v>
      </c>
      <c r="EI46" t="e">
        <f>AND('Listado General'!#REF!,"AAAAAD6574o=")</f>
        <v>#REF!</v>
      </c>
      <c r="EJ46" t="e">
        <f>AND('Listado General'!#REF!,"AAAAAD6574s=")</f>
        <v>#REF!</v>
      </c>
      <c r="EK46" t="e">
        <f>AND('Listado General'!#REF!,"AAAAAD6574w=")</f>
        <v>#REF!</v>
      </c>
      <c r="EL46" t="e">
        <f>AND('Listado General'!#REF!,"AAAAAD65740=")</f>
        <v>#REF!</v>
      </c>
      <c r="EM46" t="e">
        <f>AND('Listado General'!#REF!,"AAAAAD65744=")</f>
        <v>#REF!</v>
      </c>
      <c r="EN46" t="e">
        <f>AND('Listado General'!#REF!,"AAAAAD65748=")</f>
        <v>#REF!</v>
      </c>
      <c r="EO46" t="e">
        <f>AND('Listado General'!#REF!,"AAAAAD6575A=")</f>
        <v>#REF!</v>
      </c>
      <c r="EP46" t="e">
        <f>IF('Listado General'!#REF!,"AAAAAD6575E=",0)</f>
        <v>#REF!</v>
      </c>
      <c r="EQ46" t="e">
        <f>AND('Listado General'!#REF!,"AAAAAD6575I=")</f>
        <v>#REF!</v>
      </c>
      <c r="ER46" t="e">
        <f>AND('Listado General'!#REF!,"AAAAAD6575M=")</f>
        <v>#REF!</v>
      </c>
      <c r="ES46" t="e">
        <f>AND('Listado General'!#REF!,"AAAAAD6575Q=")</f>
        <v>#REF!</v>
      </c>
      <c r="ET46" t="e">
        <f>AND('Listado General'!#REF!,"AAAAAD6575U=")</f>
        <v>#REF!</v>
      </c>
      <c r="EU46" t="e">
        <f>AND('Listado General'!#REF!,"AAAAAD6575Y=")</f>
        <v>#REF!</v>
      </c>
      <c r="EV46" t="e">
        <f>AND('Listado General'!#REF!,"AAAAAD6575c=")</f>
        <v>#REF!</v>
      </c>
      <c r="EW46" t="e">
        <f>AND('Listado General'!#REF!,"AAAAAD6575g=")</f>
        <v>#REF!</v>
      </c>
      <c r="EX46" t="e">
        <f>AND('Listado General'!#REF!,"AAAAAD6575k=")</f>
        <v>#REF!</v>
      </c>
      <c r="EY46" t="e">
        <f>AND('Listado General'!#REF!,"AAAAAD6575o=")</f>
        <v>#REF!</v>
      </c>
      <c r="EZ46" t="e">
        <f>IF('Listado General'!#REF!,"AAAAAD6575s=",0)</f>
        <v>#REF!</v>
      </c>
      <c r="FA46" t="e">
        <f>AND('Listado General'!#REF!,"AAAAAD6575w=")</f>
        <v>#REF!</v>
      </c>
      <c r="FB46" t="e">
        <f>AND('Listado General'!#REF!,"AAAAAD65750=")</f>
        <v>#REF!</v>
      </c>
      <c r="FC46" t="e">
        <f>AND('Listado General'!#REF!,"AAAAAD65754=")</f>
        <v>#REF!</v>
      </c>
      <c r="FD46" t="e">
        <f>AND('Listado General'!#REF!,"AAAAAD65758=")</f>
        <v>#REF!</v>
      </c>
      <c r="FE46" t="e">
        <f>AND('Listado General'!#REF!,"AAAAAD6576A=")</f>
        <v>#REF!</v>
      </c>
      <c r="FF46" t="e">
        <f>AND('Listado General'!#REF!,"AAAAAD6576E=")</f>
        <v>#REF!</v>
      </c>
      <c r="FG46" t="e">
        <f>AND('Listado General'!#REF!,"AAAAAD6576I=")</f>
        <v>#REF!</v>
      </c>
      <c r="FH46" t="e">
        <f>AND('Listado General'!#REF!,"AAAAAD6576M=")</f>
        <v>#REF!</v>
      </c>
      <c r="FI46" t="e">
        <f>AND('Listado General'!#REF!,"AAAAAD6576Q=")</f>
        <v>#REF!</v>
      </c>
      <c r="FJ46" t="e">
        <f>IF('Listado General'!#REF!,"AAAAAD6576U=",0)</f>
        <v>#REF!</v>
      </c>
      <c r="FK46" t="e">
        <f>AND('Listado General'!#REF!,"AAAAAD6576Y=")</f>
        <v>#REF!</v>
      </c>
      <c r="FL46" t="e">
        <f>AND('Listado General'!#REF!,"AAAAAD6576c=")</f>
        <v>#REF!</v>
      </c>
      <c r="FM46" t="e">
        <f>AND('Listado General'!#REF!,"AAAAAD6576g=")</f>
        <v>#REF!</v>
      </c>
      <c r="FN46" t="e">
        <f>AND('Listado General'!#REF!,"AAAAAD6576k=")</f>
        <v>#REF!</v>
      </c>
      <c r="FO46" t="e">
        <f>AND('Listado General'!#REF!,"AAAAAD6576o=")</f>
        <v>#REF!</v>
      </c>
      <c r="FP46" t="e">
        <f>AND('Listado General'!#REF!,"AAAAAD6576s=")</f>
        <v>#REF!</v>
      </c>
      <c r="FQ46" t="e">
        <f>AND('Listado General'!#REF!,"AAAAAD6576w=")</f>
        <v>#REF!</v>
      </c>
      <c r="FR46" t="e">
        <f>AND('Listado General'!#REF!,"AAAAAD65760=")</f>
        <v>#REF!</v>
      </c>
      <c r="FS46" t="e">
        <f>AND('Listado General'!#REF!,"AAAAAD65764=")</f>
        <v>#REF!</v>
      </c>
      <c r="FT46" t="e">
        <f>IF('Listado General'!#REF!,"AAAAAD65768=",0)</f>
        <v>#REF!</v>
      </c>
      <c r="FU46" t="e">
        <f>AND('Listado General'!#REF!,"AAAAAD6577A=")</f>
        <v>#REF!</v>
      </c>
      <c r="FV46" t="e">
        <f>AND('Listado General'!#REF!,"AAAAAD6577E=")</f>
        <v>#REF!</v>
      </c>
      <c r="FW46" t="e">
        <f>AND('Listado General'!#REF!,"AAAAAD6577I=")</f>
        <v>#REF!</v>
      </c>
      <c r="FX46" t="e">
        <f>AND('Listado General'!#REF!,"AAAAAD6577M=")</f>
        <v>#REF!</v>
      </c>
      <c r="FY46" t="e">
        <f>AND('Listado General'!#REF!,"AAAAAD6577Q=")</f>
        <v>#REF!</v>
      </c>
      <c r="FZ46" t="e">
        <f>AND('Listado General'!#REF!,"AAAAAD6577U=")</f>
        <v>#REF!</v>
      </c>
      <c r="GA46" t="e">
        <f>AND('Listado General'!#REF!,"AAAAAD6577Y=")</f>
        <v>#REF!</v>
      </c>
      <c r="GB46" t="e">
        <f>AND('Listado General'!#REF!,"AAAAAD6577c=")</f>
        <v>#REF!</v>
      </c>
      <c r="GC46" t="e">
        <f>AND('Listado General'!#REF!,"AAAAAD6577g=")</f>
        <v>#REF!</v>
      </c>
      <c r="GD46" t="e">
        <f>IF('Listado General'!#REF!,"AAAAAD6577k=",0)</f>
        <v>#REF!</v>
      </c>
      <c r="GE46" t="e">
        <f>AND('Listado General'!#REF!,"AAAAAD6577o=")</f>
        <v>#REF!</v>
      </c>
      <c r="GF46" t="e">
        <f>AND('Listado General'!#REF!,"AAAAAD6577s=")</f>
        <v>#REF!</v>
      </c>
      <c r="GG46" t="e">
        <f>AND('Listado General'!#REF!,"AAAAAD6577w=")</f>
        <v>#REF!</v>
      </c>
      <c r="GH46" t="e">
        <f>AND('Listado General'!#REF!,"AAAAAD65770=")</f>
        <v>#REF!</v>
      </c>
      <c r="GI46" t="e">
        <f>AND('Listado General'!#REF!,"AAAAAD65774=")</f>
        <v>#REF!</v>
      </c>
      <c r="GJ46" t="e">
        <f>AND('Listado General'!#REF!,"AAAAAD65778=")</f>
        <v>#REF!</v>
      </c>
      <c r="GK46" t="e">
        <f>AND('Listado General'!#REF!,"AAAAAD6578A=")</f>
        <v>#REF!</v>
      </c>
      <c r="GL46" t="e">
        <f>AND('Listado General'!#REF!,"AAAAAD6578E=")</f>
        <v>#REF!</v>
      </c>
      <c r="GM46" t="e">
        <f>AND('Listado General'!#REF!,"AAAAAD6578I=")</f>
        <v>#REF!</v>
      </c>
      <c r="GN46" t="e">
        <f>IF('Listado General'!#REF!,"AAAAAD6578M=",0)</f>
        <v>#REF!</v>
      </c>
      <c r="GO46" t="e">
        <f>AND('Listado General'!#REF!,"AAAAAD6578Q=")</f>
        <v>#REF!</v>
      </c>
      <c r="GP46" t="e">
        <f>AND('Listado General'!#REF!,"AAAAAD6578U=")</f>
        <v>#REF!</v>
      </c>
      <c r="GQ46" t="e">
        <f>AND('Listado General'!#REF!,"AAAAAD6578Y=")</f>
        <v>#REF!</v>
      </c>
      <c r="GR46" t="e">
        <f>AND('Listado General'!#REF!,"AAAAAD6578c=")</f>
        <v>#REF!</v>
      </c>
      <c r="GS46" t="e">
        <f>AND('Listado General'!#REF!,"AAAAAD6578g=")</f>
        <v>#REF!</v>
      </c>
      <c r="GT46" t="e">
        <f>AND('Listado General'!#REF!,"AAAAAD6578k=")</f>
        <v>#REF!</v>
      </c>
      <c r="GU46" t="e">
        <f>AND('Listado General'!#REF!,"AAAAAD6578o=")</f>
        <v>#REF!</v>
      </c>
      <c r="GV46" t="e">
        <f>AND('Listado General'!#REF!,"AAAAAD6578s=")</f>
        <v>#REF!</v>
      </c>
      <c r="GW46" t="e">
        <f>AND('Listado General'!#REF!,"AAAAAD6578w=")</f>
        <v>#REF!</v>
      </c>
      <c r="GX46" t="e">
        <f>IF('Listado General'!#REF!,"AAAAAD65780=",0)</f>
        <v>#REF!</v>
      </c>
      <c r="GY46" t="e">
        <f>AND('Listado General'!#REF!,"AAAAAD65784=")</f>
        <v>#REF!</v>
      </c>
      <c r="GZ46" t="e">
        <f>AND('Listado General'!#REF!,"AAAAAD65788=")</f>
        <v>#REF!</v>
      </c>
      <c r="HA46" t="e">
        <f>AND('Listado General'!#REF!,"AAAAAD6579A=")</f>
        <v>#REF!</v>
      </c>
      <c r="HB46" t="e">
        <f>AND('Listado General'!#REF!,"AAAAAD6579E=")</f>
        <v>#REF!</v>
      </c>
      <c r="HC46" t="e">
        <f>AND('Listado General'!#REF!,"AAAAAD6579I=")</f>
        <v>#REF!</v>
      </c>
      <c r="HD46" t="e">
        <f>AND('Listado General'!#REF!,"AAAAAD6579M=")</f>
        <v>#REF!</v>
      </c>
      <c r="HE46" t="e">
        <f>AND('Listado General'!#REF!,"AAAAAD6579Q=")</f>
        <v>#REF!</v>
      </c>
      <c r="HF46" t="e">
        <f>AND('Listado General'!#REF!,"AAAAAD6579U=")</f>
        <v>#REF!</v>
      </c>
      <c r="HG46" t="e">
        <f>AND('Listado General'!#REF!,"AAAAAD6579Y=")</f>
        <v>#REF!</v>
      </c>
      <c r="HH46" t="e">
        <f>IF('Listado General'!#REF!,"AAAAAD6579c=",0)</f>
        <v>#REF!</v>
      </c>
      <c r="HI46" t="e">
        <f>AND('Listado General'!#REF!,"AAAAAD6579g=")</f>
        <v>#REF!</v>
      </c>
      <c r="HJ46" t="e">
        <f>AND('Listado General'!#REF!,"AAAAAD6579k=")</f>
        <v>#REF!</v>
      </c>
      <c r="HK46" t="e">
        <f>AND('Listado General'!#REF!,"AAAAAD6579o=")</f>
        <v>#REF!</v>
      </c>
      <c r="HL46" t="e">
        <f>AND('Listado General'!#REF!,"AAAAAD6579s=")</f>
        <v>#REF!</v>
      </c>
      <c r="HM46" t="e">
        <f>AND('Listado General'!#REF!,"AAAAAD6579w=")</f>
        <v>#REF!</v>
      </c>
      <c r="HN46" t="e">
        <f>AND('Listado General'!#REF!,"AAAAAD65790=")</f>
        <v>#REF!</v>
      </c>
      <c r="HO46" t="e">
        <f>AND('Listado General'!#REF!,"AAAAAD65794=")</f>
        <v>#REF!</v>
      </c>
      <c r="HP46" t="e">
        <f>AND('Listado General'!#REF!,"AAAAAD65798=")</f>
        <v>#REF!</v>
      </c>
      <c r="HQ46" t="e">
        <f>AND('Listado General'!#REF!,"AAAAAD657+A=")</f>
        <v>#REF!</v>
      </c>
      <c r="HR46" t="e">
        <f>IF('Listado General'!#REF!,"AAAAAD657+E=",0)</f>
        <v>#REF!</v>
      </c>
      <c r="HS46" t="e">
        <f>AND('Listado General'!#REF!,"AAAAAD657+I=")</f>
        <v>#REF!</v>
      </c>
      <c r="HT46" t="e">
        <f>AND('Listado General'!#REF!,"AAAAAD657+M=")</f>
        <v>#REF!</v>
      </c>
      <c r="HU46" t="e">
        <f>AND('Listado General'!#REF!,"AAAAAD657+Q=")</f>
        <v>#REF!</v>
      </c>
      <c r="HV46" t="e">
        <f>AND('Listado General'!#REF!,"AAAAAD657+U=")</f>
        <v>#REF!</v>
      </c>
      <c r="HW46" t="e">
        <f>AND('Listado General'!#REF!,"AAAAAD657+Y=")</f>
        <v>#REF!</v>
      </c>
      <c r="HX46" t="e">
        <f>AND('Listado General'!#REF!,"AAAAAD657+c=")</f>
        <v>#REF!</v>
      </c>
      <c r="HY46" t="e">
        <f>AND('Listado General'!#REF!,"AAAAAD657+g=")</f>
        <v>#REF!</v>
      </c>
      <c r="HZ46" t="e">
        <f>AND('Listado General'!#REF!,"AAAAAD657+k=")</f>
        <v>#REF!</v>
      </c>
      <c r="IA46" t="e">
        <f>AND('Listado General'!#REF!,"AAAAAD657+o=")</f>
        <v>#REF!</v>
      </c>
      <c r="IB46" t="e">
        <f>IF('Listado General'!#REF!,"AAAAAD657+s=",0)</f>
        <v>#REF!</v>
      </c>
      <c r="IC46" t="e">
        <f>AND('Listado General'!#REF!,"AAAAAD657+w=")</f>
        <v>#REF!</v>
      </c>
      <c r="ID46" t="e">
        <f>AND('Listado General'!#REF!,"AAAAAD657+0=")</f>
        <v>#REF!</v>
      </c>
      <c r="IE46" t="e">
        <f>AND('Listado General'!#REF!,"AAAAAD657+4=")</f>
        <v>#REF!</v>
      </c>
      <c r="IF46" t="e">
        <f>AND('Listado General'!#REF!,"AAAAAD657+8=")</f>
        <v>#REF!</v>
      </c>
      <c r="IG46" t="e">
        <f>AND('Listado General'!#REF!,"AAAAAD657/A=")</f>
        <v>#REF!</v>
      </c>
      <c r="IH46" t="e">
        <f>AND('Listado General'!#REF!,"AAAAAD657/E=")</f>
        <v>#REF!</v>
      </c>
      <c r="II46" t="e">
        <f>AND('Listado General'!#REF!,"AAAAAD657/I=")</f>
        <v>#REF!</v>
      </c>
      <c r="IJ46" t="e">
        <f>AND('Listado General'!#REF!,"AAAAAD657/M=")</f>
        <v>#REF!</v>
      </c>
      <c r="IK46" t="e">
        <f>AND('Listado General'!#REF!,"AAAAAD657/Q=")</f>
        <v>#REF!</v>
      </c>
      <c r="IL46" t="e">
        <f>IF('Listado General'!#REF!,"AAAAAD657/U=",0)</f>
        <v>#REF!</v>
      </c>
      <c r="IM46" t="e">
        <f>AND('Listado General'!#REF!,"AAAAAD657/Y=")</f>
        <v>#REF!</v>
      </c>
      <c r="IN46" t="e">
        <f>AND('Listado General'!#REF!,"AAAAAD657/c=")</f>
        <v>#REF!</v>
      </c>
      <c r="IO46" t="e">
        <f>AND('Listado General'!#REF!,"AAAAAD657/g=")</f>
        <v>#REF!</v>
      </c>
      <c r="IP46" t="e">
        <f>AND('Listado General'!#REF!,"AAAAAD657/k=")</f>
        <v>#REF!</v>
      </c>
      <c r="IQ46" t="e">
        <f>AND('Listado General'!#REF!,"AAAAAD657/o=")</f>
        <v>#REF!</v>
      </c>
      <c r="IR46" t="e">
        <f>AND('Listado General'!#REF!,"AAAAAD657/s=")</f>
        <v>#REF!</v>
      </c>
      <c r="IS46" t="e">
        <f>AND('Listado General'!#REF!,"AAAAAD657/w=")</f>
        <v>#REF!</v>
      </c>
      <c r="IT46" t="e">
        <f>AND('Listado General'!#REF!,"AAAAAD657/0=")</f>
        <v>#REF!</v>
      </c>
      <c r="IU46" t="e">
        <f>AND('Listado General'!#REF!,"AAAAAD657/4=")</f>
        <v>#REF!</v>
      </c>
      <c r="IV46" t="e">
        <f>IF('Listado General'!#REF!,"AAAAAD657/8=",0)</f>
        <v>#REF!</v>
      </c>
    </row>
    <row r="47" spans="1:256" ht="12.75">
      <c r="A47" t="e">
        <f>AND('Listado General'!#REF!,"AAAAAH///wA=")</f>
        <v>#REF!</v>
      </c>
      <c r="B47" t="e">
        <f>AND('Listado General'!#REF!,"AAAAAH///wE=")</f>
        <v>#REF!</v>
      </c>
      <c r="C47" t="e">
        <f>AND('Listado General'!#REF!,"AAAAAH///wI=")</f>
        <v>#REF!</v>
      </c>
      <c r="D47" t="e">
        <f>AND('Listado General'!#REF!,"AAAAAH///wM=")</f>
        <v>#REF!</v>
      </c>
      <c r="E47" t="e">
        <f>AND('Listado General'!#REF!,"AAAAAH///wQ=")</f>
        <v>#REF!</v>
      </c>
      <c r="F47" t="e">
        <f>AND('Listado General'!#REF!,"AAAAAH///wU=")</f>
        <v>#REF!</v>
      </c>
      <c r="G47" t="e">
        <f>AND('Listado General'!#REF!,"AAAAAH///wY=")</f>
        <v>#REF!</v>
      </c>
      <c r="H47" t="e">
        <f>AND('Listado General'!#REF!,"AAAAAH///wc=")</f>
        <v>#REF!</v>
      </c>
      <c r="I47" t="e">
        <f>AND('Listado General'!#REF!,"AAAAAH///wg=")</f>
        <v>#REF!</v>
      </c>
      <c r="J47" t="e">
        <f>IF('Listado General'!#REF!,"AAAAAH///wk=",0)</f>
        <v>#REF!</v>
      </c>
      <c r="K47" t="e">
        <f>AND('Listado General'!#REF!,"AAAAAH///wo=")</f>
        <v>#REF!</v>
      </c>
      <c r="L47" t="e">
        <f>AND('Listado General'!#REF!,"AAAAAH///ws=")</f>
        <v>#REF!</v>
      </c>
      <c r="M47" t="e">
        <f>AND('Listado General'!#REF!,"AAAAAH///ww=")</f>
        <v>#REF!</v>
      </c>
      <c r="N47" t="e">
        <f>AND('Listado General'!#REF!,"AAAAAH///w0=")</f>
        <v>#REF!</v>
      </c>
      <c r="O47" t="e">
        <f>AND('Listado General'!#REF!,"AAAAAH///w4=")</f>
        <v>#REF!</v>
      </c>
      <c r="P47" t="e">
        <f>AND('Listado General'!#REF!,"AAAAAH///w8=")</f>
        <v>#REF!</v>
      </c>
      <c r="Q47" t="e">
        <f>AND('Listado General'!#REF!,"AAAAAH///xA=")</f>
        <v>#REF!</v>
      </c>
      <c r="R47" t="e">
        <f>AND('Listado General'!#REF!,"AAAAAH///xE=")</f>
        <v>#REF!</v>
      </c>
      <c r="S47" t="e">
        <f>AND('Listado General'!#REF!,"AAAAAH///xI=")</f>
        <v>#REF!</v>
      </c>
      <c r="T47" t="e">
        <f>IF('Listado General'!#REF!,"AAAAAH///xM=",0)</f>
        <v>#REF!</v>
      </c>
      <c r="U47" t="e">
        <f>AND('Listado General'!#REF!,"AAAAAH///xQ=")</f>
        <v>#REF!</v>
      </c>
      <c r="V47" t="e">
        <f>AND('Listado General'!#REF!,"AAAAAH///xU=")</f>
        <v>#REF!</v>
      </c>
      <c r="W47" t="e">
        <f>AND('Listado General'!#REF!,"AAAAAH///xY=")</f>
        <v>#REF!</v>
      </c>
      <c r="X47" t="e">
        <f>AND('Listado General'!#REF!,"AAAAAH///xc=")</f>
        <v>#REF!</v>
      </c>
      <c r="Y47" t="e">
        <f>AND('Listado General'!#REF!,"AAAAAH///xg=")</f>
        <v>#REF!</v>
      </c>
      <c r="Z47" t="e">
        <f>AND('Listado General'!#REF!,"AAAAAH///xk=")</f>
        <v>#REF!</v>
      </c>
      <c r="AA47" t="e">
        <f>AND('Listado General'!#REF!,"AAAAAH///xo=")</f>
        <v>#REF!</v>
      </c>
      <c r="AB47" t="e">
        <f>AND('Listado General'!#REF!,"AAAAAH///xs=")</f>
        <v>#REF!</v>
      </c>
      <c r="AC47" t="e">
        <f>AND('Listado General'!#REF!,"AAAAAH///xw=")</f>
        <v>#REF!</v>
      </c>
      <c r="AD47" t="e">
        <f>IF('Listado General'!#REF!,"AAAAAH///x0=",0)</f>
        <v>#REF!</v>
      </c>
      <c r="AE47" t="e">
        <f>AND('Listado General'!#REF!,"AAAAAH///x4=")</f>
        <v>#REF!</v>
      </c>
      <c r="AF47" t="e">
        <f>AND('Listado General'!#REF!,"AAAAAH///x8=")</f>
        <v>#REF!</v>
      </c>
      <c r="AG47" t="e">
        <f>AND('Listado General'!#REF!,"AAAAAH///yA=")</f>
        <v>#REF!</v>
      </c>
      <c r="AH47" t="e">
        <f>AND('Listado General'!#REF!,"AAAAAH///yE=")</f>
        <v>#REF!</v>
      </c>
      <c r="AI47" t="e">
        <f>AND('Listado General'!#REF!,"AAAAAH///yI=")</f>
        <v>#REF!</v>
      </c>
      <c r="AJ47" t="e">
        <f>AND('Listado General'!#REF!,"AAAAAH///yM=")</f>
        <v>#REF!</v>
      </c>
      <c r="AK47" t="e">
        <f>AND('Listado General'!#REF!,"AAAAAH///yQ=")</f>
        <v>#REF!</v>
      </c>
      <c r="AL47" t="e">
        <f>AND('Listado General'!#REF!,"AAAAAH///yU=")</f>
        <v>#REF!</v>
      </c>
      <c r="AM47" t="e">
        <f>AND('Listado General'!#REF!,"AAAAAH///yY=")</f>
        <v>#REF!</v>
      </c>
      <c r="AN47" t="e">
        <f>IF('Listado General'!#REF!,"AAAAAH///yc=",0)</f>
        <v>#REF!</v>
      </c>
      <c r="AO47" t="e">
        <f>AND('Listado General'!#REF!,"AAAAAH///yg=")</f>
        <v>#REF!</v>
      </c>
      <c r="AP47" t="e">
        <f>AND('Listado General'!#REF!,"AAAAAH///yk=")</f>
        <v>#REF!</v>
      </c>
      <c r="AQ47" t="e">
        <f>AND('Listado General'!#REF!,"AAAAAH///yo=")</f>
        <v>#REF!</v>
      </c>
      <c r="AR47" t="e">
        <f>AND('Listado General'!#REF!,"AAAAAH///ys=")</f>
        <v>#REF!</v>
      </c>
      <c r="AS47" t="e">
        <f>AND('Listado General'!#REF!,"AAAAAH///yw=")</f>
        <v>#REF!</v>
      </c>
      <c r="AT47" t="e">
        <f>AND('Listado General'!#REF!,"AAAAAH///y0=")</f>
        <v>#REF!</v>
      </c>
      <c r="AU47" t="e">
        <f>AND('Listado General'!#REF!,"AAAAAH///y4=")</f>
        <v>#REF!</v>
      </c>
      <c r="AV47" t="e">
        <f>AND('Listado General'!#REF!,"AAAAAH///y8=")</f>
        <v>#REF!</v>
      </c>
      <c r="AW47" t="e">
        <f>AND('Listado General'!#REF!,"AAAAAH///zA=")</f>
        <v>#REF!</v>
      </c>
      <c r="AX47" t="e">
        <f>IF('Listado General'!#REF!,"AAAAAH///zE=",0)</f>
        <v>#REF!</v>
      </c>
      <c r="AY47" t="e">
        <f>AND('Listado General'!#REF!,"AAAAAH///zI=")</f>
        <v>#REF!</v>
      </c>
      <c r="AZ47" t="e">
        <f>AND('Listado General'!#REF!,"AAAAAH///zM=")</f>
        <v>#REF!</v>
      </c>
      <c r="BA47" t="e">
        <f>AND('Listado General'!#REF!,"AAAAAH///zQ=")</f>
        <v>#REF!</v>
      </c>
      <c r="BB47" t="e">
        <f>AND('Listado General'!#REF!,"AAAAAH///zU=")</f>
        <v>#REF!</v>
      </c>
      <c r="BC47" t="e">
        <f>AND('Listado General'!#REF!,"AAAAAH///zY=")</f>
        <v>#REF!</v>
      </c>
      <c r="BD47" t="e">
        <f>AND('Listado General'!#REF!,"AAAAAH///zc=")</f>
        <v>#REF!</v>
      </c>
      <c r="BE47" t="e">
        <f>AND('Listado General'!#REF!,"AAAAAH///zg=")</f>
        <v>#REF!</v>
      </c>
      <c r="BF47" t="e">
        <f>AND('Listado General'!#REF!,"AAAAAH///zk=")</f>
        <v>#REF!</v>
      </c>
      <c r="BG47" t="e">
        <f>AND('Listado General'!#REF!,"AAAAAH///zo=")</f>
        <v>#REF!</v>
      </c>
      <c r="BH47" t="e">
        <f>IF('Listado General'!#REF!,"AAAAAH///zs=",0)</f>
        <v>#REF!</v>
      </c>
      <c r="BI47" t="e">
        <f>AND('Listado General'!#REF!,"AAAAAH///zw=")</f>
        <v>#REF!</v>
      </c>
      <c r="BJ47" t="e">
        <f>AND('Listado General'!#REF!,"AAAAAH///z0=")</f>
        <v>#REF!</v>
      </c>
      <c r="BK47" t="e">
        <f>AND('Listado General'!#REF!,"AAAAAH///z4=")</f>
        <v>#REF!</v>
      </c>
      <c r="BL47" t="e">
        <f>AND('Listado General'!#REF!,"AAAAAH///z8=")</f>
        <v>#REF!</v>
      </c>
      <c r="BM47" t="e">
        <f>AND('Listado General'!#REF!,"AAAAAH///0A=")</f>
        <v>#REF!</v>
      </c>
      <c r="BN47" t="e">
        <f>AND('Listado General'!#REF!,"AAAAAH///0E=")</f>
        <v>#REF!</v>
      </c>
      <c r="BO47" t="e">
        <f>AND('Listado General'!#REF!,"AAAAAH///0I=")</f>
        <v>#REF!</v>
      </c>
      <c r="BP47" t="e">
        <f>AND('Listado General'!#REF!,"AAAAAH///0M=")</f>
        <v>#REF!</v>
      </c>
      <c r="BQ47" t="e">
        <f>AND('Listado General'!#REF!,"AAAAAH///0Q=")</f>
        <v>#REF!</v>
      </c>
      <c r="BR47" t="e">
        <f>IF('Listado General'!#REF!,"AAAAAH///0U=",0)</f>
        <v>#REF!</v>
      </c>
      <c r="BS47" t="e">
        <f>AND('Listado General'!#REF!,"AAAAAH///0Y=")</f>
        <v>#REF!</v>
      </c>
      <c r="BT47" t="e">
        <f>AND('Listado General'!#REF!,"AAAAAH///0c=")</f>
        <v>#REF!</v>
      </c>
      <c r="BU47" t="e">
        <f>AND('Listado General'!#REF!,"AAAAAH///0g=")</f>
        <v>#REF!</v>
      </c>
      <c r="BV47" t="e">
        <f>AND('Listado General'!#REF!,"AAAAAH///0k=")</f>
        <v>#REF!</v>
      </c>
      <c r="BW47" t="e">
        <f>AND('Listado General'!#REF!,"AAAAAH///0o=")</f>
        <v>#REF!</v>
      </c>
      <c r="BX47" t="e">
        <f>AND('Listado General'!#REF!,"AAAAAH///0s=")</f>
        <v>#REF!</v>
      </c>
      <c r="BY47" t="e">
        <f>AND('Listado General'!#REF!,"AAAAAH///0w=")</f>
        <v>#REF!</v>
      </c>
      <c r="BZ47" t="e">
        <f>AND('Listado General'!#REF!,"AAAAAH///00=")</f>
        <v>#REF!</v>
      </c>
      <c r="CA47" t="e">
        <f>AND('Listado General'!#REF!,"AAAAAH///04=")</f>
        <v>#REF!</v>
      </c>
      <c r="CB47" t="e">
        <f>IF('Listado General'!#REF!,"AAAAAH///08=",0)</f>
        <v>#REF!</v>
      </c>
      <c r="CC47" t="e">
        <f>AND('Listado General'!#REF!,"AAAAAH///1A=")</f>
        <v>#REF!</v>
      </c>
      <c r="CD47" t="e">
        <f>AND('Listado General'!#REF!,"AAAAAH///1E=")</f>
        <v>#REF!</v>
      </c>
      <c r="CE47" t="e">
        <f>AND('Listado General'!#REF!,"AAAAAH///1I=")</f>
        <v>#REF!</v>
      </c>
      <c r="CF47" t="e">
        <f>AND('Listado General'!#REF!,"AAAAAH///1M=")</f>
        <v>#REF!</v>
      </c>
      <c r="CG47" t="e">
        <f>AND('Listado General'!#REF!,"AAAAAH///1Q=")</f>
        <v>#REF!</v>
      </c>
      <c r="CH47" t="e">
        <f>AND('Listado General'!#REF!,"AAAAAH///1U=")</f>
        <v>#REF!</v>
      </c>
      <c r="CI47" t="e">
        <f>AND('Listado General'!#REF!,"AAAAAH///1Y=")</f>
        <v>#REF!</v>
      </c>
      <c r="CJ47" t="e">
        <f>AND('Listado General'!#REF!,"AAAAAH///1c=")</f>
        <v>#REF!</v>
      </c>
      <c r="CK47" t="e">
        <f>AND('Listado General'!#REF!,"AAAAAH///1g=")</f>
        <v>#REF!</v>
      </c>
      <c r="CL47" t="e">
        <f>IF('Listado General'!#REF!,"AAAAAH///1k=",0)</f>
        <v>#REF!</v>
      </c>
      <c r="CM47" t="e">
        <f>AND('Listado General'!#REF!,"AAAAAH///1o=")</f>
        <v>#REF!</v>
      </c>
      <c r="CN47" t="e">
        <f>AND('Listado General'!#REF!,"AAAAAH///1s=")</f>
        <v>#REF!</v>
      </c>
      <c r="CO47" t="e">
        <f>AND('Listado General'!#REF!,"AAAAAH///1w=")</f>
        <v>#REF!</v>
      </c>
      <c r="CP47" t="e">
        <f>AND('Listado General'!#REF!,"AAAAAH///10=")</f>
        <v>#REF!</v>
      </c>
      <c r="CQ47" t="e">
        <f>AND('Listado General'!#REF!,"AAAAAH///14=")</f>
        <v>#REF!</v>
      </c>
      <c r="CR47" t="e">
        <f>AND('Listado General'!#REF!,"AAAAAH///18=")</f>
        <v>#REF!</v>
      </c>
      <c r="CS47" t="e">
        <f>AND('Listado General'!#REF!,"AAAAAH///2A=")</f>
        <v>#REF!</v>
      </c>
      <c r="CT47" t="e">
        <f>AND('Listado General'!#REF!,"AAAAAH///2E=")</f>
        <v>#REF!</v>
      </c>
      <c r="CU47" t="e">
        <f>AND('Listado General'!#REF!,"AAAAAH///2I=")</f>
        <v>#REF!</v>
      </c>
      <c r="CV47" t="e">
        <f>IF('Listado General'!#REF!,"AAAAAH///2M=",0)</f>
        <v>#REF!</v>
      </c>
      <c r="CW47" t="e">
        <f>AND('Listado General'!#REF!,"AAAAAH///2Q=")</f>
        <v>#REF!</v>
      </c>
      <c r="CX47" t="e">
        <f>AND('Listado General'!#REF!,"AAAAAH///2U=")</f>
        <v>#REF!</v>
      </c>
      <c r="CY47" t="e">
        <f>AND('Listado General'!#REF!,"AAAAAH///2Y=")</f>
        <v>#REF!</v>
      </c>
      <c r="CZ47" t="e">
        <f>AND('Listado General'!#REF!,"AAAAAH///2c=")</f>
        <v>#REF!</v>
      </c>
      <c r="DA47" t="e">
        <f>AND('Listado General'!#REF!,"AAAAAH///2g=")</f>
        <v>#REF!</v>
      </c>
      <c r="DB47" t="e">
        <f>AND('Listado General'!#REF!,"AAAAAH///2k=")</f>
        <v>#REF!</v>
      </c>
      <c r="DC47" t="e">
        <f>AND('Listado General'!#REF!,"AAAAAH///2o=")</f>
        <v>#REF!</v>
      </c>
      <c r="DD47" t="e">
        <f>AND('Listado General'!#REF!,"AAAAAH///2s=")</f>
        <v>#REF!</v>
      </c>
      <c r="DE47" t="e">
        <f>AND('Listado General'!#REF!,"AAAAAH///2w=")</f>
        <v>#REF!</v>
      </c>
      <c r="DF47" t="e">
        <f>IF('Listado General'!#REF!,"AAAAAH///20=",0)</f>
        <v>#REF!</v>
      </c>
      <c r="DG47" t="e">
        <f>AND('Listado General'!#REF!,"AAAAAH///24=")</f>
        <v>#REF!</v>
      </c>
      <c r="DH47" t="e">
        <f>AND('Listado General'!#REF!,"AAAAAH///28=")</f>
        <v>#REF!</v>
      </c>
      <c r="DI47" t="e">
        <f>AND('Listado General'!#REF!,"AAAAAH///3A=")</f>
        <v>#REF!</v>
      </c>
      <c r="DJ47" t="e">
        <f>AND('Listado General'!#REF!,"AAAAAH///3E=")</f>
        <v>#REF!</v>
      </c>
      <c r="DK47" t="e">
        <f>AND('Listado General'!#REF!,"AAAAAH///3I=")</f>
        <v>#REF!</v>
      </c>
      <c r="DL47" t="e">
        <f>AND('Listado General'!#REF!,"AAAAAH///3M=")</f>
        <v>#REF!</v>
      </c>
      <c r="DM47" t="e">
        <f>AND('Listado General'!#REF!,"AAAAAH///3Q=")</f>
        <v>#REF!</v>
      </c>
      <c r="DN47" t="e">
        <f>AND('Listado General'!#REF!,"AAAAAH///3U=")</f>
        <v>#REF!</v>
      </c>
      <c r="DO47" t="e">
        <f>AND('Listado General'!#REF!,"AAAAAH///3Y=")</f>
        <v>#REF!</v>
      </c>
      <c r="DP47" t="e">
        <f>IF('Listado General'!#REF!,"AAAAAH///3c=",0)</f>
        <v>#REF!</v>
      </c>
      <c r="DQ47" t="e">
        <f>AND('Listado General'!#REF!,"AAAAAH///3g=")</f>
        <v>#REF!</v>
      </c>
      <c r="DR47" t="e">
        <f>AND('Listado General'!#REF!,"AAAAAH///3k=")</f>
        <v>#REF!</v>
      </c>
      <c r="DS47" t="e">
        <f>AND('Listado General'!#REF!,"AAAAAH///3o=")</f>
        <v>#REF!</v>
      </c>
      <c r="DT47" t="e">
        <f>AND('Listado General'!#REF!,"AAAAAH///3s=")</f>
        <v>#REF!</v>
      </c>
      <c r="DU47" t="e">
        <f>AND('Listado General'!#REF!,"AAAAAH///3w=")</f>
        <v>#REF!</v>
      </c>
      <c r="DV47" t="e">
        <f>AND('Listado General'!#REF!,"AAAAAH///30=")</f>
        <v>#REF!</v>
      </c>
      <c r="DW47" t="e">
        <f>AND('Listado General'!#REF!,"AAAAAH///34=")</f>
        <v>#REF!</v>
      </c>
      <c r="DX47" t="e">
        <f>AND('Listado General'!#REF!,"AAAAAH///38=")</f>
        <v>#REF!</v>
      </c>
      <c r="DY47" t="e">
        <f>AND('Listado General'!#REF!,"AAAAAH///4A=")</f>
        <v>#REF!</v>
      </c>
      <c r="DZ47" t="e">
        <f>IF('Listado General'!#REF!,"AAAAAH///4E=",0)</f>
        <v>#REF!</v>
      </c>
      <c r="EA47" t="e">
        <f>AND('Listado General'!#REF!,"AAAAAH///4I=")</f>
        <v>#REF!</v>
      </c>
      <c r="EB47" t="e">
        <f>AND('Listado General'!#REF!,"AAAAAH///4M=")</f>
        <v>#REF!</v>
      </c>
      <c r="EC47" t="e">
        <f>AND('Listado General'!#REF!,"AAAAAH///4Q=")</f>
        <v>#REF!</v>
      </c>
      <c r="ED47" t="e">
        <f>AND('Listado General'!#REF!,"AAAAAH///4U=")</f>
        <v>#REF!</v>
      </c>
      <c r="EE47" t="e">
        <f>AND('Listado General'!#REF!,"AAAAAH///4Y=")</f>
        <v>#REF!</v>
      </c>
      <c r="EF47" t="e">
        <f>AND('Listado General'!#REF!,"AAAAAH///4c=")</f>
        <v>#REF!</v>
      </c>
      <c r="EG47" t="e">
        <f>AND('Listado General'!#REF!,"AAAAAH///4g=")</f>
        <v>#REF!</v>
      </c>
      <c r="EH47" t="e">
        <f>AND('Listado General'!#REF!,"AAAAAH///4k=")</f>
        <v>#REF!</v>
      </c>
      <c r="EI47" t="e">
        <f>AND('Listado General'!#REF!,"AAAAAH///4o=")</f>
        <v>#REF!</v>
      </c>
      <c r="EJ47" t="e">
        <f>IF('Listado General'!#REF!,"AAAAAH///4s=",0)</f>
        <v>#REF!</v>
      </c>
      <c r="EK47" t="e">
        <f>AND('Listado General'!#REF!,"AAAAAH///4w=")</f>
        <v>#REF!</v>
      </c>
      <c r="EL47" t="e">
        <f>AND('Listado General'!#REF!,"AAAAAH///40=")</f>
        <v>#REF!</v>
      </c>
      <c r="EM47" t="e">
        <f>AND('Listado General'!#REF!,"AAAAAH///44=")</f>
        <v>#REF!</v>
      </c>
      <c r="EN47" t="e">
        <f>AND('Listado General'!#REF!,"AAAAAH///48=")</f>
        <v>#REF!</v>
      </c>
      <c r="EO47" t="e">
        <f>AND('Listado General'!#REF!,"AAAAAH///5A=")</f>
        <v>#REF!</v>
      </c>
      <c r="EP47" t="e">
        <f>AND('Listado General'!#REF!,"AAAAAH///5E=")</f>
        <v>#REF!</v>
      </c>
      <c r="EQ47" t="e">
        <f>AND('Listado General'!#REF!,"AAAAAH///5I=")</f>
        <v>#REF!</v>
      </c>
      <c r="ER47" t="e">
        <f>AND('Listado General'!#REF!,"AAAAAH///5M=")</f>
        <v>#REF!</v>
      </c>
      <c r="ES47" t="e">
        <f>AND('Listado General'!#REF!,"AAAAAH///5Q=")</f>
        <v>#REF!</v>
      </c>
      <c r="ET47" t="e">
        <f>IF('Listado General'!#REF!,"AAAAAH///5U=",0)</f>
        <v>#REF!</v>
      </c>
      <c r="EU47" t="e">
        <f>AND('Listado General'!#REF!,"AAAAAH///5Y=")</f>
        <v>#REF!</v>
      </c>
      <c r="EV47" t="e">
        <f>AND('Listado General'!#REF!,"AAAAAH///5c=")</f>
        <v>#REF!</v>
      </c>
      <c r="EW47" t="e">
        <f>AND('Listado General'!#REF!,"AAAAAH///5g=")</f>
        <v>#REF!</v>
      </c>
      <c r="EX47" t="e">
        <f>AND('Listado General'!#REF!,"AAAAAH///5k=")</f>
        <v>#REF!</v>
      </c>
      <c r="EY47" t="e">
        <f>AND('Listado General'!#REF!,"AAAAAH///5o=")</f>
        <v>#REF!</v>
      </c>
      <c r="EZ47" t="e">
        <f>AND('Listado General'!#REF!,"AAAAAH///5s=")</f>
        <v>#REF!</v>
      </c>
      <c r="FA47" t="e">
        <f>AND('Listado General'!#REF!,"AAAAAH///5w=")</f>
        <v>#REF!</v>
      </c>
      <c r="FB47" t="e">
        <f>AND('Listado General'!#REF!,"AAAAAH///50=")</f>
        <v>#REF!</v>
      </c>
      <c r="FC47" t="e">
        <f>AND('Listado General'!#REF!,"AAAAAH///54=")</f>
        <v>#REF!</v>
      </c>
      <c r="FD47" t="e">
        <f>IF('Listado General'!#REF!,"AAAAAH///58=",0)</f>
        <v>#REF!</v>
      </c>
      <c r="FE47" t="e">
        <f>AND('Listado General'!#REF!,"AAAAAH///6A=")</f>
        <v>#REF!</v>
      </c>
      <c r="FF47" t="e">
        <f>AND('Listado General'!#REF!,"AAAAAH///6E=")</f>
        <v>#REF!</v>
      </c>
      <c r="FG47" t="e">
        <f>AND('Listado General'!#REF!,"AAAAAH///6I=")</f>
        <v>#REF!</v>
      </c>
      <c r="FH47" t="e">
        <f>AND('Listado General'!#REF!,"AAAAAH///6M=")</f>
        <v>#REF!</v>
      </c>
      <c r="FI47" t="e">
        <f>AND('Listado General'!#REF!,"AAAAAH///6Q=")</f>
        <v>#REF!</v>
      </c>
      <c r="FJ47" t="e">
        <f>AND('Listado General'!#REF!,"AAAAAH///6U=")</f>
        <v>#REF!</v>
      </c>
      <c r="FK47" t="e">
        <f>AND('Listado General'!#REF!,"AAAAAH///6Y=")</f>
        <v>#REF!</v>
      </c>
      <c r="FL47" t="e">
        <f>AND('Listado General'!#REF!,"AAAAAH///6c=")</f>
        <v>#REF!</v>
      </c>
      <c r="FM47" t="e">
        <f>AND('Listado General'!#REF!,"AAAAAH///6g=")</f>
        <v>#REF!</v>
      </c>
      <c r="FN47" t="e">
        <f>IF('Listado General'!#REF!,"AAAAAH///6k=",0)</f>
        <v>#REF!</v>
      </c>
      <c r="FO47" t="e">
        <f>AND('Listado General'!#REF!,"AAAAAH///6o=")</f>
        <v>#REF!</v>
      </c>
      <c r="FP47" t="e">
        <f>AND('Listado General'!#REF!,"AAAAAH///6s=")</f>
        <v>#REF!</v>
      </c>
      <c r="FQ47" t="e">
        <f>AND('Listado General'!#REF!,"AAAAAH///6w=")</f>
        <v>#REF!</v>
      </c>
      <c r="FR47" t="e">
        <f>AND('Listado General'!#REF!,"AAAAAH///60=")</f>
        <v>#REF!</v>
      </c>
      <c r="FS47" t="e">
        <f>AND('Listado General'!#REF!,"AAAAAH///64=")</f>
        <v>#REF!</v>
      </c>
      <c r="FT47" t="e">
        <f>AND('Listado General'!#REF!,"AAAAAH///68=")</f>
        <v>#REF!</v>
      </c>
      <c r="FU47" t="e">
        <f>AND('Listado General'!#REF!,"AAAAAH///7A=")</f>
        <v>#REF!</v>
      </c>
      <c r="FV47" t="e">
        <f>AND('Listado General'!#REF!,"AAAAAH///7E=")</f>
        <v>#REF!</v>
      </c>
      <c r="FW47" t="e">
        <f>AND('Listado General'!#REF!,"AAAAAH///7I=")</f>
        <v>#REF!</v>
      </c>
      <c r="FX47" t="e">
        <f>IF('Listado General'!#REF!,"AAAAAH///7M=",0)</f>
        <v>#REF!</v>
      </c>
      <c r="FY47" t="e">
        <f>AND('Listado General'!#REF!,"AAAAAH///7Q=")</f>
        <v>#REF!</v>
      </c>
      <c r="FZ47" t="e">
        <f>AND('Listado General'!#REF!,"AAAAAH///7U=")</f>
        <v>#REF!</v>
      </c>
      <c r="GA47" t="e">
        <f>AND('Listado General'!#REF!,"AAAAAH///7Y=")</f>
        <v>#REF!</v>
      </c>
      <c r="GB47" t="e">
        <f>AND('Listado General'!#REF!,"AAAAAH///7c=")</f>
        <v>#REF!</v>
      </c>
      <c r="GC47" t="e">
        <f>AND('Listado General'!#REF!,"AAAAAH///7g=")</f>
        <v>#REF!</v>
      </c>
      <c r="GD47" t="e">
        <f>AND('Listado General'!#REF!,"AAAAAH///7k=")</f>
        <v>#REF!</v>
      </c>
      <c r="GE47" t="e">
        <f>AND('Listado General'!#REF!,"AAAAAH///7o=")</f>
        <v>#REF!</v>
      </c>
      <c r="GF47" t="e">
        <f>AND('Listado General'!#REF!,"AAAAAH///7s=")</f>
        <v>#REF!</v>
      </c>
      <c r="GG47" t="e">
        <f>AND('Listado General'!#REF!,"AAAAAH///7w=")</f>
        <v>#REF!</v>
      </c>
      <c r="GH47" t="e">
        <f>IF('Listado General'!#REF!,"AAAAAH///70=",0)</f>
        <v>#REF!</v>
      </c>
      <c r="GI47" t="e">
        <f>AND('Listado General'!#REF!,"AAAAAH///74=")</f>
        <v>#REF!</v>
      </c>
      <c r="GJ47" t="e">
        <f>AND('Listado General'!#REF!,"AAAAAH///78=")</f>
        <v>#REF!</v>
      </c>
      <c r="GK47" t="e">
        <f>AND('Listado General'!#REF!,"AAAAAH///8A=")</f>
        <v>#REF!</v>
      </c>
      <c r="GL47" t="e">
        <f>AND('Listado General'!#REF!,"AAAAAH///8E=")</f>
        <v>#REF!</v>
      </c>
      <c r="GM47" t="e">
        <f>AND('Listado General'!#REF!,"AAAAAH///8I=")</f>
        <v>#REF!</v>
      </c>
      <c r="GN47" t="e">
        <f>AND('Listado General'!#REF!,"AAAAAH///8M=")</f>
        <v>#REF!</v>
      </c>
      <c r="GO47" t="e">
        <f>AND('Listado General'!#REF!,"AAAAAH///8Q=")</f>
        <v>#REF!</v>
      </c>
      <c r="GP47" t="e">
        <f>AND('Listado General'!#REF!,"AAAAAH///8U=")</f>
        <v>#REF!</v>
      </c>
      <c r="GQ47" t="e">
        <f>AND('Listado General'!#REF!,"AAAAAH///8Y=")</f>
        <v>#REF!</v>
      </c>
      <c r="GR47" t="e">
        <f>IF('Listado General'!#REF!,"AAAAAH///8c=",0)</f>
        <v>#REF!</v>
      </c>
      <c r="GS47" t="e">
        <f>AND('Listado General'!#REF!,"AAAAAH///8g=")</f>
        <v>#REF!</v>
      </c>
      <c r="GT47" t="e">
        <f>AND('Listado General'!#REF!,"AAAAAH///8k=")</f>
        <v>#REF!</v>
      </c>
      <c r="GU47" t="e">
        <f>AND('Listado General'!#REF!,"AAAAAH///8o=")</f>
        <v>#REF!</v>
      </c>
      <c r="GV47" t="e">
        <f>AND('Listado General'!#REF!,"AAAAAH///8s=")</f>
        <v>#REF!</v>
      </c>
      <c r="GW47" t="e">
        <f>AND('Listado General'!#REF!,"AAAAAH///8w=")</f>
        <v>#REF!</v>
      </c>
      <c r="GX47" t="e">
        <f>AND('Listado General'!#REF!,"AAAAAH///80=")</f>
        <v>#REF!</v>
      </c>
      <c r="GY47" t="e">
        <f>AND('Listado General'!#REF!,"AAAAAH///84=")</f>
        <v>#REF!</v>
      </c>
      <c r="GZ47" t="e">
        <f>AND('Listado General'!#REF!,"AAAAAH///88=")</f>
        <v>#REF!</v>
      </c>
      <c r="HA47" t="e">
        <f>AND('Listado General'!#REF!,"AAAAAH///9A=")</f>
        <v>#REF!</v>
      </c>
      <c r="HB47" t="e">
        <f>IF('Listado General'!#REF!,"AAAAAH///9E=",0)</f>
        <v>#REF!</v>
      </c>
      <c r="HC47" t="e">
        <f>AND('Listado General'!#REF!,"AAAAAH///9I=")</f>
        <v>#REF!</v>
      </c>
      <c r="HD47" t="e">
        <f>AND('Listado General'!#REF!,"AAAAAH///9M=")</f>
        <v>#REF!</v>
      </c>
      <c r="HE47" t="e">
        <f>AND('Listado General'!#REF!,"AAAAAH///9Q=")</f>
        <v>#REF!</v>
      </c>
      <c r="HF47" t="e">
        <f>AND('Listado General'!#REF!,"AAAAAH///9U=")</f>
        <v>#REF!</v>
      </c>
      <c r="HG47" t="e">
        <f>AND('Listado General'!#REF!,"AAAAAH///9Y=")</f>
        <v>#REF!</v>
      </c>
      <c r="HH47" t="e">
        <f>AND('Listado General'!#REF!,"AAAAAH///9c=")</f>
        <v>#REF!</v>
      </c>
      <c r="HI47" t="e">
        <f>AND('Listado General'!#REF!,"AAAAAH///9g=")</f>
        <v>#REF!</v>
      </c>
      <c r="HJ47" t="e">
        <f>AND('Listado General'!#REF!,"AAAAAH///9k=")</f>
        <v>#REF!</v>
      </c>
      <c r="HK47" t="e">
        <f>AND('Listado General'!#REF!,"AAAAAH///9o=")</f>
        <v>#REF!</v>
      </c>
      <c r="HL47" t="e">
        <f>IF('Listado General'!#REF!,"AAAAAH///9s=",0)</f>
        <v>#REF!</v>
      </c>
      <c r="HM47" t="e">
        <f>AND('Listado General'!#REF!,"AAAAAH///9w=")</f>
        <v>#REF!</v>
      </c>
      <c r="HN47" t="e">
        <f>AND('Listado General'!#REF!,"AAAAAH///90=")</f>
        <v>#REF!</v>
      </c>
      <c r="HO47" t="e">
        <f>AND('Listado General'!#REF!,"AAAAAH///94=")</f>
        <v>#REF!</v>
      </c>
      <c r="HP47" t="e">
        <f>AND('Listado General'!#REF!,"AAAAAH///98=")</f>
        <v>#REF!</v>
      </c>
      <c r="HQ47" t="e">
        <f>AND('Listado General'!#REF!,"AAAAAH///+A=")</f>
        <v>#REF!</v>
      </c>
      <c r="HR47" t="e">
        <f>AND('Listado General'!#REF!,"AAAAAH///+E=")</f>
        <v>#REF!</v>
      </c>
      <c r="HS47" t="e">
        <f>AND('Listado General'!#REF!,"AAAAAH///+I=")</f>
        <v>#REF!</v>
      </c>
      <c r="HT47" t="e">
        <f>AND('Listado General'!#REF!,"AAAAAH///+M=")</f>
        <v>#REF!</v>
      </c>
      <c r="HU47" t="e">
        <f>AND('Listado General'!#REF!,"AAAAAH///+Q=")</f>
        <v>#REF!</v>
      </c>
      <c r="HV47" t="e">
        <f>IF('Listado General'!#REF!,"AAAAAH///+U=",0)</f>
        <v>#REF!</v>
      </c>
      <c r="HW47" t="e">
        <f>AND('Listado General'!#REF!,"AAAAAH///+Y=")</f>
        <v>#REF!</v>
      </c>
      <c r="HX47" t="e">
        <f>AND('Listado General'!#REF!,"AAAAAH///+c=")</f>
        <v>#REF!</v>
      </c>
      <c r="HY47" t="e">
        <f>AND('Listado General'!#REF!,"AAAAAH///+g=")</f>
        <v>#REF!</v>
      </c>
      <c r="HZ47" t="e">
        <f>AND('Listado General'!#REF!,"AAAAAH///+k=")</f>
        <v>#REF!</v>
      </c>
      <c r="IA47" t="e">
        <f>AND('Listado General'!#REF!,"AAAAAH///+o=")</f>
        <v>#REF!</v>
      </c>
      <c r="IB47" t="e">
        <f>AND('Listado General'!#REF!,"AAAAAH///+s=")</f>
        <v>#REF!</v>
      </c>
      <c r="IC47" t="e">
        <f>AND('Listado General'!#REF!,"AAAAAH///+w=")</f>
        <v>#REF!</v>
      </c>
      <c r="ID47" t="e">
        <f>AND('Listado General'!#REF!,"AAAAAH///+0=")</f>
        <v>#REF!</v>
      </c>
      <c r="IE47" t="e">
        <f>AND('Listado General'!#REF!,"AAAAAH///+4=")</f>
        <v>#REF!</v>
      </c>
      <c r="IF47" t="e">
        <f>IF('Listado General'!#REF!,"AAAAAH///+8=",0)</f>
        <v>#REF!</v>
      </c>
      <c r="IG47" t="e">
        <f>AND('Listado General'!#REF!,"AAAAAH////A=")</f>
        <v>#REF!</v>
      </c>
      <c r="IH47" t="e">
        <f>AND('Listado General'!#REF!,"AAAAAH////E=")</f>
        <v>#REF!</v>
      </c>
      <c r="II47" t="e">
        <f>AND('Listado General'!#REF!,"AAAAAH////I=")</f>
        <v>#REF!</v>
      </c>
      <c r="IJ47" t="e">
        <f>AND('Listado General'!#REF!,"AAAAAH////M=")</f>
        <v>#REF!</v>
      </c>
      <c r="IK47" t="e">
        <f>AND('Listado General'!#REF!,"AAAAAH////Q=")</f>
        <v>#REF!</v>
      </c>
      <c r="IL47" t="e">
        <f>AND('Listado General'!#REF!,"AAAAAH////U=")</f>
        <v>#REF!</v>
      </c>
      <c r="IM47" t="e">
        <f>AND('Listado General'!#REF!,"AAAAAH////Y=")</f>
        <v>#REF!</v>
      </c>
      <c r="IN47" t="e">
        <f>AND('Listado General'!#REF!,"AAAAAH////c=")</f>
        <v>#REF!</v>
      </c>
      <c r="IO47" t="e">
        <f>AND('Listado General'!#REF!,"AAAAAH////g=")</f>
        <v>#REF!</v>
      </c>
      <c r="IP47" t="e">
        <f>IF('Listado General'!#REF!,"AAAAAH////k=",0)</f>
        <v>#REF!</v>
      </c>
      <c r="IQ47" t="e">
        <f>AND('Listado General'!#REF!,"AAAAAH////o=")</f>
        <v>#REF!</v>
      </c>
      <c r="IR47" t="e">
        <f>AND('Listado General'!#REF!,"AAAAAH////s=")</f>
        <v>#REF!</v>
      </c>
      <c r="IS47" t="e">
        <f>AND('Listado General'!#REF!,"AAAAAH////w=")</f>
        <v>#REF!</v>
      </c>
      <c r="IT47" t="e">
        <f>AND('Listado General'!#REF!,"AAAAAH////0=")</f>
        <v>#REF!</v>
      </c>
      <c r="IU47" t="e">
        <f>AND('Listado General'!#REF!,"AAAAAH////4=")</f>
        <v>#REF!</v>
      </c>
      <c r="IV47" t="e">
        <f>AND('Listado General'!#REF!,"AAAAAH////8=")</f>
        <v>#REF!</v>
      </c>
    </row>
    <row r="48" spans="1:256" ht="12.75">
      <c r="A48" t="e">
        <f>AND('Listado General'!#REF!,"AAAAAH+f/wA=")</f>
        <v>#REF!</v>
      </c>
      <c r="B48" t="e">
        <f>AND('Listado General'!#REF!,"AAAAAH+f/wE=")</f>
        <v>#REF!</v>
      </c>
      <c r="C48" t="e">
        <f>AND('Listado General'!#REF!,"AAAAAH+f/wI=")</f>
        <v>#REF!</v>
      </c>
      <c r="D48" t="e">
        <f>IF('Listado General'!#REF!,"AAAAAH+f/wM=",0)</f>
        <v>#REF!</v>
      </c>
      <c r="E48" t="e">
        <f>AND('Listado General'!#REF!,"AAAAAH+f/wQ=")</f>
        <v>#REF!</v>
      </c>
      <c r="F48" t="e">
        <f>AND('Listado General'!#REF!,"AAAAAH+f/wU=")</f>
        <v>#REF!</v>
      </c>
      <c r="G48" t="e">
        <f>AND('Listado General'!#REF!,"AAAAAH+f/wY=")</f>
        <v>#REF!</v>
      </c>
      <c r="H48" t="e">
        <f>AND('Listado General'!#REF!,"AAAAAH+f/wc=")</f>
        <v>#REF!</v>
      </c>
      <c r="I48" t="e">
        <f>AND('Listado General'!#REF!,"AAAAAH+f/wg=")</f>
        <v>#REF!</v>
      </c>
      <c r="J48" t="e">
        <f>AND('Listado General'!#REF!,"AAAAAH+f/wk=")</f>
        <v>#REF!</v>
      </c>
      <c r="K48" t="e">
        <f>AND('Listado General'!#REF!,"AAAAAH+f/wo=")</f>
        <v>#REF!</v>
      </c>
      <c r="L48" t="e">
        <f>AND('Listado General'!#REF!,"AAAAAH+f/ws=")</f>
        <v>#REF!</v>
      </c>
      <c r="M48" t="e">
        <f>AND('Listado General'!#REF!,"AAAAAH+f/ww=")</f>
        <v>#REF!</v>
      </c>
      <c r="N48" t="e">
        <f>IF('Listado General'!#REF!,"AAAAAH+f/w0=",0)</f>
        <v>#REF!</v>
      </c>
      <c r="O48" t="e">
        <f>AND('Listado General'!#REF!,"AAAAAH+f/w4=")</f>
        <v>#REF!</v>
      </c>
      <c r="P48" t="e">
        <f>AND('Listado General'!#REF!,"AAAAAH+f/w8=")</f>
        <v>#REF!</v>
      </c>
      <c r="Q48" t="e">
        <f>AND('Listado General'!#REF!,"AAAAAH+f/xA=")</f>
        <v>#REF!</v>
      </c>
      <c r="R48" t="e">
        <f>AND('Listado General'!#REF!,"AAAAAH+f/xE=")</f>
        <v>#REF!</v>
      </c>
      <c r="S48" t="e">
        <f>AND('Listado General'!#REF!,"AAAAAH+f/xI=")</f>
        <v>#REF!</v>
      </c>
      <c r="T48" t="e">
        <f>AND('Listado General'!#REF!,"AAAAAH+f/xM=")</f>
        <v>#REF!</v>
      </c>
      <c r="U48" t="e">
        <f>AND('Listado General'!#REF!,"AAAAAH+f/xQ=")</f>
        <v>#REF!</v>
      </c>
      <c r="V48" t="e">
        <f>AND('Listado General'!#REF!,"AAAAAH+f/xU=")</f>
        <v>#REF!</v>
      </c>
      <c r="W48" t="e">
        <f>AND('Listado General'!#REF!,"AAAAAH+f/xY=")</f>
        <v>#REF!</v>
      </c>
      <c r="X48" t="e">
        <f>IF('Listado General'!#REF!,"AAAAAH+f/xc=",0)</f>
        <v>#REF!</v>
      </c>
      <c r="Y48" t="e">
        <f>AND('Listado General'!#REF!,"AAAAAH+f/xg=")</f>
        <v>#REF!</v>
      </c>
      <c r="Z48" t="e">
        <f>AND('Listado General'!#REF!,"AAAAAH+f/xk=")</f>
        <v>#REF!</v>
      </c>
      <c r="AA48" t="e">
        <f>AND('Listado General'!#REF!,"AAAAAH+f/xo=")</f>
        <v>#REF!</v>
      </c>
      <c r="AB48" t="e">
        <f>AND('Listado General'!#REF!,"AAAAAH+f/xs=")</f>
        <v>#REF!</v>
      </c>
      <c r="AC48" t="e">
        <f>AND('Listado General'!#REF!,"AAAAAH+f/xw=")</f>
        <v>#REF!</v>
      </c>
      <c r="AD48" t="e">
        <f>AND('Listado General'!#REF!,"AAAAAH+f/x0=")</f>
        <v>#REF!</v>
      </c>
      <c r="AE48" t="e">
        <f>AND('Listado General'!#REF!,"AAAAAH+f/x4=")</f>
        <v>#REF!</v>
      </c>
      <c r="AF48" t="e">
        <f>AND('Listado General'!#REF!,"AAAAAH+f/x8=")</f>
        <v>#REF!</v>
      </c>
      <c r="AG48" t="e">
        <f>AND('Listado General'!#REF!,"AAAAAH+f/yA=")</f>
        <v>#REF!</v>
      </c>
      <c r="AH48" t="e">
        <f>IF('Listado General'!#REF!,"AAAAAH+f/yE=",0)</f>
        <v>#REF!</v>
      </c>
      <c r="AI48" t="e">
        <f>AND('Listado General'!#REF!,"AAAAAH+f/yI=")</f>
        <v>#REF!</v>
      </c>
      <c r="AJ48" t="e">
        <f>AND('Listado General'!#REF!,"AAAAAH+f/yM=")</f>
        <v>#REF!</v>
      </c>
      <c r="AK48" t="e">
        <f>AND('Listado General'!#REF!,"AAAAAH+f/yQ=")</f>
        <v>#REF!</v>
      </c>
      <c r="AL48" t="e">
        <f>AND('Listado General'!#REF!,"AAAAAH+f/yU=")</f>
        <v>#REF!</v>
      </c>
      <c r="AM48" t="e">
        <f>AND('Listado General'!#REF!,"AAAAAH+f/yY=")</f>
        <v>#REF!</v>
      </c>
      <c r="AN48" t="e">
        <f>AND('Listado General'!#REF!,"AAAAAH+f/yc=")</f>
        <v>#REF!</v>
      </c>
      <c r="AO48" t="e">
        <f>AND('Listado General'!#REF!,"AAAAAH+f/yg=")</f>
        <v>#REF!</v>
      </c>
      <c r="AP48" t="e">
        <f>AND('Listado General'!#REF!,"AAAAAH+f/yk=")</f>
        <v>#REF!</v>
      </c>
      <c r="AQ48" t="e">
        <f>AND('Listado General'!#REF!,"AAAAAH+f/yo=")</f>
        <v>#REF!</v>
      </c>
      <c r="AR48" t="e">
        <f>IF('Listado General'!#REF!,"AAAAAH+f/ys=",0)</f>
        <v>#REF!</v>
      </c>
      <c r="AS48" t="e">
        <f>AND('Listado General'!#REF!,"AAAAAH+f/yw=")</f>
        <v>#REF!</v>
      </c>
      <c r="AT48" t="e">
        <f>AND('Listado General'!#REF!,"AAAAAH+f/y0=")</f>
        <v>#REF!</v>
      </c>
      <c r="AU48" t="e">
        <f>AND('Listado General'!#REF!,"AAAAAH+f/y4=")</f>
        <v>#REF!</v>
      </c>
      <c r="AV48" t="e">
        <f>AND('Listado General'!#REF!,"AAAAAH+f/y8=")</f>
        <v>#REF!</v>
      </c>
      <c r="AW48" t="e">
        <f>AND('Listado General'!#REF!,"AAAAAH+f/zA=")</f>
        <v>#REF!</v>
      </c>
      <c r="AX48" t="e">
        <f>AND('Listado General'!#REF!,"AAAAAH+f/zE=")</f>
        <v>#REF!</v>
      </c>
      <c r="AY48" t="e">
        <f>AND('Listado General'!#REF!,"AAAAAH+f/zI=")</f>
        <v>#REF!</v>
      </c>
      <c r="AZ48" t="e">
        <f>AND('Listado General'!#REF!,"AAAAAH+f/zM=")</f>
        <v>#REF!</v>
      </c>
      <c r="BA48" t="e">
        <f>AND('Listado General'!#REF!,"AAAAAH+f/zQ=")</f>
        <v>#REF!</v>
      </c>
      <c r="BB48" t="e">
        <f>IF('Listado General'!#REF!,"AAAAAH+f/zU=",0)</f>
        <v>#REF!</v>
      </c>
      <c r="BC48" t="e">
        <f>AND('Listado General'!#REF!,"AAAAAH+f/zY=")</f>
        <v>#REF!</v>
      </c>
      <c r="BD48" t="e">
        <f>AND('Listado General'!#REF!,"AAAAAH+f/zc=")</f>
        <v>#REF!</v>
      </c>
      <c r="BE48" t="e">
        <f>AND('Listado General'!#REF!,"AAAAAH+f/zg=")</f>
        <v>#REF!</v>
      </c>
      <c r="BF48" t="e">
        <f>AND('Listado General'!#REF!,"AAAAAH+f/zk=")</f>
        <v>#REF!</v>
      </c>
      <c r="BG48" t="e">
        <f>AND('Listado General'!#REF!,"AAAAAH+f/zo=")</f>
        <v>#REF!</v>
      </c>
      <c r="BH48" t="e">
        <f>AND('Listado General'!#REF!,"AAAAAH+f/zs=")</f>
        <v>#REF!</v>
      </c>
      <c r="BI48" t="e">
        <f>AND('Listado General'!#REF!,"AAAAAH+f/zw=")</f>
        <v>#REF!</v>
      </c>
      <c r="BJ48" t="e">
        <f>AND('Listado General'!#REF!,"AAAAAH+f/z0=")</f>
        <v>#REF!</v>
      </c>
      <c r="BK48" t="e">
        <f>AND('Listado General'!#REF!,"AAAAAH+f/z4=")</f>
        <v>#REF!</v>
      </c>
      <c r="BL48" t="e">
        <f>IF('Listado General'!#REF!,"AAAAAH+f/z8=",0)</f>
        <v>#REF!</v>
      </c>
      <c r="BM48" t="e">
        <f>AND('Listado General'!#REF!,"AAAAAH+f/0A=")</f>
        <v>#REF!</v>
      </c>
      <c r="BN48" t="e">
        <f>AND('Listado General'!#REF!,"AAAAAH+f/0E=")</f>
        <v>#REF!</v>
      </c>
      <c r="BO48" t="e">
        <f>AND('Listado General'!#REF!,"AAAAAH+f/0I=")</f>
        <v>#REF!</v>
      </c>
      <c r="BP48" t="e">
        <f>AND('Listado General'!#REF!,"AAAAAH+f/0M=")</f>
        <v>#REF!</v>
      </c>
      <c r="BQ48" t="e">
        <f>AND('Listado General'!#REF!,"AAAAAH+f/0Q=")</f>
        <v>#REF!</v>
      </c>
      <c r="BR48" t="e">
        <f>AND('Listado General'!#REF!,"AAAAAH+f/0U=")</f>
        <v>#REF!</v>
      </c>
      <c r="BS48" t="e">
        <f>AND('Listado General'!#REF!,"AAAAAH+f/0Y=")</f>
        <v>#REF!</v>
      </c>
      <c r="BT48" t="e">
        <f>AND('Listado General'!#REF!,"AAAAAH+f/0c=")</f>
        <v>#REF!</v>
      </c>
      <c r="BU48" t="e">
        <f>AND('Listado General'!#REF!,"AAAAAH+f/0g=")</f>
        <v>#REF!</v>
      </c>
      <c r="BV48" t="e">
        <f>IF('Listado General'!#REF!,"AAAAAH+f/0k=",0)</f>
        <v>#REF!</v>
      </c>
      <c r="BW48" t="e">
        <f>AND('Listado General'!#REF!,"AAAAAH+f/0o=")</f>
        <v>#REF!</v>
      </c>
      <c r="BX48" t="e">
        <f>AND('Listado General'!#REF!,"AAAAAH+f/0s=")</f>
        <v>#REF!</v>
      </c>
      <c r="BY48" t="e">
        <f>AND('Listado General'!#REF!,"AAAAAH+f/0w=")</f>
        <v>#REF!</v>
      </c>
      <c r="BZ48" t="e">
        <f>AND('Listado General'!#REF!,"AAAAAH+f/00=")</f>
        <v>#REF!</v>
      </c>
      <c r="CA48" t="e">
        <f>AND('Listado General'!#REF!,"AAAAAH+f/04=")</f>
        <v>#REF!</v>
      </c>
      <c r="CB48" t="e">
        <f>AND('Listado General'!#REF!,"AAAAAH+f/08=")</f>
        <v>#REF!</v>
      </c>
      <c r="CC48" t="e">
        <f>AND('Listado General'!#REF!,"AAAAAH+f/1A=")</f>
        <v>#REF!</v>
      </c>
      <c r="CD48" t="e">
        <f>AND('Listado General'!#REF!,"AAAAAH+f/1E=")</f>
        <v>#REF!</v>
      </c>
      <c r="CE48" t="e">
        <f>AND('Listado General'!#REF!,"AAAAAH+f/1I=")</f>
        <v>#REF!</v>
      </c>
      <c r="CF48" t="e">
        <f>IF('Listado General'!#REF!,"AAAAAH+f/1M=",0)</f>
        <v>#REF!</v>
      </c>
      <c r="CG48" t="e">
        <f>AND('Listado General'!#REF!,"AAAAAH+f/1Q=")</f>
        <v>#REF!</v>
      </c>
      <c r="CH48" t="e">
        <f>AND('Listado General'!#REF!,"AAAAAH+f/1U=")</f>
        <v>#REF!</v>
      </c>
      <c r="CI48" t="e">
        <f>AND('Listado General'!#REF!,"AAAAAH+f/1Y=")</f>
        <v>#REF!</v>
      </c>
      <c r="CJ48" t="e">
        <f>AND('Listado General'!#REF!,"AAAAAH+f/1c=")</f>
        <v>#REF!</v>
      </c>
      <c r="CK48" t="e">
        <f>AND('Listado General'!#REF!,"AAAAAH+f/1g=")</f>
        <v>#REF!</v>
      </c>
      <c r="CL48" t="e">
        <f>AND('Listado General'!#REF!,"AAAAAH+f/1k=")</f>
        <v>#REF!</v>
      </c>
      <c r="CM48" t="e">
        <f>AND('Listado General'!#REF!,"AAAAAH+f/1o=")</f>
        <v>#REF!</v>
      </c>
      <c r="CN48" t="e">
        <f>AND('Listado General'!#REF!,"AAAAAH+f/1s=")</f>
        <v>#REF!</v>
      </c>
      <c r="CO48" t="e">
        <f>AND('Listado General'!#REF!,"AAAAAH+f/1w=")</f>
        <v>#REF!</v>
      </c>
      <c r="CP48" t="e">
        <f>IF('Listado General'!#REF!,"AAAAAH+f/10=",0)</f>
        <v>#REF!</v>
      </c>
      <c r="CQ48" t="e">
        <f>AND('Listado General'!#REF!,"AAAAAH+f/14=")</f>
        <v>#REF!</v>
      </c>
      <c r="CR48" t="e">
        <f>AND('Listado General'!#REF!,"AAAAAH+f/18=")</f>
        <v>#REF!</v>
      </c>
      <c r="CS48" t="e">
        <f>AND('Listado General'!#REF!,"AAAAAH+f/2A=")</f>
        <v>#REF!</v>
      </c>
      <c r="CT48" t="e">
        <f>AND('Listado General'!#REF!,"AAAAAH+f/2E=")</f>
        <v>#REF!</v>
      </c>
      <c r="CU48" t="e">
        <f>AND('Listado General'!#REF!,"AAAAAH+f/2I=")</f>
        <v>#REF!</v>
      </c>
      <c r="CV48" t="e">
        <f>AND('Listado General'!#REF!,"AAAAAH+f/2M=")</f>
        <v>#REF!</v>
      </c>
      <c r="CW48" t="e">
        <f>AND('Listado General'!#REF!,"AAAAAH+f/2Q=")</f>
        <v>#REF!</v>
      </c>
      <c r="CX48" t="e">
        <f>AND('Listado General'!#REF!,"AAAAAH+f/2U=")</f>
        <v>#REF!</v>
      </c>
      <c r="CY48" t="e">
        <f>AND('Listado General'!#REF!,"AAAAAH+f/2Y=")</f>
        <v>#REF!</v>
      </c>
      <c r="CZ48" t="e">
        <f>IF('Listado General'!#REF!,"AAAAAH+f/2c=",0)</f>
        <v>#REF!</v>
      </c>
      <c r="DA48" t="e">
        <f>AND('Listado General'!#REF!,"AAAAAH+f/2g=")</f>
        <v>#REF!</v>
      </c>
      <c r="DB48" t="e">
        <f>AND('Listado General'!#REF!,"AAAAAH+f/2k=")</f>
        <v>#REF!</v>
      </c>
      <c r="DC48" t="e">
        <f>AND('Listado General'!#REF!,"AAAAAH+f/2o=")</f>
        <v>#REF!</v>
      </c>
      <c r="DD48" t="e">
        <f>AND('Listado General'!#REF!,"AAAAAH+f/2s=")</f>
        <v>#REF!</v>
      </c>
      <c r="DE48" t="e">
        <f>AND('Listado General'!#REF!,"AAAAAH+f/2w=")</f>
        <v>#REF!</v>
      </c>
      <c r="DF48" t="e">
        <f>AND('Listado General'!#REF!,"AAAAAH+f/20=")</f>
        <v>#REF!</v>
      </c>
      <c r="DG48" t="e">
        <f>AND('Listado General'!#REF!,"AAAAAH+f/24=")</f>
        <v>#REF!</v>
      </c>
      <c r="DH48" t="e">
        <f>AND('Listado General'!#REF!,"AAAAAH+f/28=")</f>
        <v>#REF!</v>
      </c>
      <c r="DI48" t="e">
        <f>AND('Listado General'!#REF!,"AAAAAH+f/3A=")</f>
        <v>#REF!</v>
      </c>
      <c r="DJ48" t="e">
        <f>IF('Listado General'!#REF!,"AAAAAH+f/3E=",0)</f>
        <v>#REF!</v>
      </c>
      <c r="DK48" t="e">
        <f>AND('Listado General'!#REF!,"AAAAAH+f/3I=")</f>
        <v>#REF!</v>
      </c>
      <c r="DL48" t="e">
        <f>AND('Listado General'!#REF!,"AAAAAH+f/3M=")</f>
        <v>#REF!</v>
      </c>
      <c r="DM48" t="e">
        <f>AND('Listado General'!#REF!,"AAAAAH+f/3Q=")</f>
        <v>#REF!</v>
      </c>
      <c r="DN48" t="e">
        <f>AND('Listado General'!#REF!,"AAAAAH+f/3U=")</f>
        <v>#REF!</v>
      </c>
      <c r="DO48" t="e">
        <f>AND('Listado General'!#REF!,"AAAAAH+f/3Y=")</f>
        <v>#REF!</v>
      </c>
      <c r="DP48" t="e">
        <f>AND('Listado General'!#REF!,"AAAAAH+f/3c=")</f>
        <v>#REF!</v>
      </c>
      <c r="DQ48" t="e">
        <f>AND('Listado General'!#REF!,"AAAAAH+f/3g=")</f>
        <v>#REF!</v>
      </c>
      <c r="DR48" t="e">
        <f>AND('Listado General'!#REF!,"AAAAAH+f/3k=")</f>
        <v>#REF!</v>
      </c>
      <c r="DS48" t="e">
        <f>AND('Listado General'!#REF!,"AAAAAH+f/3o=")</f>
        <v>#REF!</v>
      </c>
      <c r="DT48" t="e">
        <f>IF('Listado General'!#REF!,"AAAAAH+f/3s=",0)</f>
        <v>#REF!</v>
      </c>
      <c r="DU48" t="e">
        <f>AND('Listado General'!#REF!,"AAAAAH+f/3w=")</f>
        <v>#REF!</v>
      </c>
      <c r="DV48" t="e">
        <f>AND('Listado General'!#REF!,"AAAAAH+f/30=")</f>
        <v>#REF!</v>
      </c>
      <c r="DW48" t="e">
        <f>AND('Listado General'!#REF!,"AAAAAH+f/34=")</f>
        <v>#REF!</v>
      </c>
      <c r="DX48" t="e">
        <f>AND('Listado General'!#REF!,"AAAAAH+f/38=")</f>
        <v>#REF!</v>
      </c>
      <c r="DY48" t="e">
        <f>AND('Listado General'!#REF!,"AAAAAH+f/4A=")</f>
        <v>#REF!</v>
      </c>
      <c r="DZ48" t="e">
        <f>AND('Listado General'!#REF!,"AAAAAH+f/4E=")</f>
        <v>#REF!</v>
      </c>
      <c r="EA48" t="e">
        <f>AND('Listado General'!#REF!,"AAAAAH+f/4I=")</f>
        <v>#REF!</v>
      </c>
      <c r="EB48" t="e">
        <f>AND('Listado General'!#REF!,"AAAAAH+f/4M=")</f>
        <v>#REF!</v>
      </c>
      <c r="EC48" t="e">
        <f>AND('Listado General'!#REF!,"AAAAAH+f/4Q=")</f>
        <v>#REF!</v>
      </c>
      <c r="ED48" t="e">
        <f>IF('Listado General'!#REF!,"AAAAAH+f/4U=",0)</f>
        <v>#REF!</v>
      </c>
      <c r="EE48" t="e">
        <f>AND('Listado General'!#REF!,"AAAAAH+f/4Y=")</f>
        <v>#REF!</v>
      </c>
      <c r="EF48" t="e">
        <f>AND('Listado General'!#REF!,"AAAAAH+f/4c=")</f>
        <v>#REF!</v>
      </c>
      <c r="EG48" t="e">
        <f>AND('Listado General'!#REF!,"AAAAAH+f/4g=")</f>
        <v>#REF!</v>
      </c>
      <c r="EH48" t="e">
        <f>AND('Listado General'!#REF!,"AAAAAH+f/4k=")</f>
        <v>#REF!</v>
      </c>
      <c r="EI48" t="e">
        <f>AND('Listado General'!#REF!,"AAAAAH+f/4o=")</f>
        <v>#REF!</v>
      </c>
      <c r="EJ48" t="e">
        <f>AND('Listado General'!#REF!,"AAAAAH+f/4s=")</f>
        <v>#REF!</v>
      </c>
      <c r="EK48" t="e">
        <f>AND('Listado General'!#REF!,"AAAAAH+f/4w=")</f>
        <v>#REF!</v>
      </c>
      <c r="EL48" t="e">
        <f>AND('Listado General'!#REF!,"AAAAAH+f/40=")</f>
        <v>#REF!</v>
      </c>
      <c r="EM48" t="e">
        <f>AND('Listado General'!#REF!,"AAAAAH+f/44=")</f>
        <v>#REF!</v>
      </c>
      <c r="EN48" t="e">
        <f>IF('Listado General'!#REF!,"AAAAAH+f/48=",0)</f>
        <v>#REF!</v>
      </c>
      <c r="EO48" t="e">
        <f>AND('Listado General'!#REF!,"AAAAAH+f/5A=")</f>
        <v>#REF!</v>
      </c>
      <c r="EP48" t="e">
        <f>AND('Listado General'!#REF!,"AAAAAH+f/5E=")</f>
        <v>#REF!</v>
      </c>
      <c r="EQ48" t="e">
        <f>AND('Listado General'!#REF!,"AAAAAH+f/5I=")</f>
        <v>#REF!</v>
      </c>
      <c r="ER48" t="e">
        <f>AND('Listado General'!#REF!,"AAAAAH+f/5M=")</f>
        <v>#REF!</v>
      </c>
      <c r="ES48" t="e">
        <f>AND('Listado General'!#REF!,"AAAAAH+f/5Q=")</f>
        <v>#REF!</v>
      </c>
      <c r="ET48" t="e">
        <f>AND('Listado General'!#REF!,"AAAAAH+f/5U=")</f>
        <v>#REF!</v>
      </c>
      <c r="EU48" t="e">
        <f>AND('Listado General'!#REF!,"AAAAAH+f/5Y=")</f>
        <v>#REF!</v>
      </c>
      <c r="EV48" t="e">
        <f>AND('Listado General'!#REF!,"AAAAAH+f/5c=")</f>
        <v>#REF!</v>
      </c>
      <c r="EW48" t="e">
        <f>AND('Listado General'!#REF!,"AAAAAH+f/5g=")</f>
        <v>#REF!</v>
      </c>
      <c r="EX48" t="e">
        <f>IF('Listado General'!#REF!,"AAAAAH+f/5k=",0)</f>
        <v>#REF!</v>
      </c>
      <c r="EY48" t="e">
        <f>AND('Listado General'!#REF!,"AAAAAH+f/5o=")</f>
        <v>#REF!</v>
      </c>
      <c r="EZ48" t="e">
        <f>AND('Listado General'!#REF!,"AAAAAH+f/5s=")</f>
        <v>#REF!</v>
      </c>
      <c r="FA48" t="e">
        <f>AND('Listado General'!#REF!,"AAAAAH+f/5w=")</f>
        <v>#REF!</v>
      </c>
      <c r="FB48" t="e">
        <f>AND('Listado General'!#REF!,"AAAAAH+f/50=")</f>
        <v>#REF!</v>
      </c>
      <c r="FC48" t="e">
        <f>AND('Listado General'!#REF!,"AAAAAH+f/54=")</f>
        <v>#REF!</v>
      </c>
      <c r="FD48" t="e">
        <f>AND('Listado General'!#REF!,"AAAAAH+f/58=")</f>
        <v>#REF!</v>
      </c>
      <c r="FE48" t="e">
        <f>AND('Listado General'!#REF!,"AAAAAH+f/6A=")</f>
        <v>#REF!</v>
      </c>
      <c r="FF48" t="e">
        <f>AND('Listado General'!#REF!,"AAAAAH+f/6E=")</f>
        <v>#REF!</v>
      </c>
      <c r="FG48" t="e">
        <f>AND('Listado General'!#REF!,"AAAAAH+f/6I=")</f>
        <v>#REF!</v>
      </c>
      <c r="FH48" t="e">
        <f>IF('Listado General'!#REF!,"AAAAAH+f/6M=",0)</f>
        <v>#REF!</v>
      </c>
      <c r="FI48" t="e">
        <f>AND('Listado General'!#REF!,"AAAAAH+f/6Q=")</f>
        <v>#REF!</v>
      </c>
      <c r="FJ48" t="e">
        <f>AND('Listado General'!#REF!,"AAAAAH+f/6U=")</f>
        <v>#REF!</v>
      </c>
      <c r="FK48" t="e">
        <f>AND('Listado General'!#REF!,"AAAAAH+f/6Y=")</f>
        <v>#REF!</v>
      </c>
      <c r="FL48" t="e">
        <f>AND('Listado General'!#REF!,"AAAAAH+f/6c=")</f>
        <v>#REF!</v>
      </c>
      <c r="FM48" t="e">
        <f>AND('Listado General'!#REF!,"AAAAAH+f/6g=")</f>
        <v>#REF!</v>
      </c>
      <c r="FN48" t="e">
        <f>AND('Listado General'!#REF!,"AAAAAH+f/6k=")</f>
        <v>#REF!</v>
      </c>
      <c r="FO48" t="e">
        <f>AND('Listado General'!#REF!,"AAAAAH+f/6o=")</f>
        <v>#REF!</v>
      </c>
      <c r="FP48" t="e">
        <f>AND('Listado General'!#REF!,"AAAAAH+f/6s=")</f>
        <v>#REF!</v>
      </c>
      <c r="FQ48" t="e">
        <f>AND('Listado General'!#REF!,"AAAAAH+f/6w=")</f>
        <v>#REF!</v>
      </c>
      <c r="FR48" t="e">
        <f>IF('Listado General'!#REF!,"AAAAAH+f/60=",0)</f>
        <v>#REF!</v>
      </c>
      <c r="FS48" t="e">
        <f>AND('Listado General'!#REF!,"AAAAAH+f/64=")</f>
        <v>#REF!</v>
      </c>
      <c r="FT48" t="e">
        <f>AND('Listado General'!#REF!,"AAAAAH+f/68=")</f>
        <v>#REF!</v>
      </c>
      <c r="FU48" t="e">
        <f>AND('Listado General'!#REF!,"AAAAAH+f/7A=")</f>
        <v>#REF!</v>
      </c>
      <c r="FV48" t="e">
        <f>AND('Listado General'!#REF!,"AAAAAH+f/7E=")</f>
        <v>#REF!</v>
      </c>
      <c r="FW48" t="e">
        <f>AND('Listado General'!#REF!,"AAAAAH+f/7I=")</f>
        <v>#REF!</v>
      </c>
      <c r="FX48" t="e">
        <f>AND('Listado General'!#REF!,"AAAAAH+f/7M=")</f>
        <v>#REF!</v>
      </c>
      <c r="FY48" t="e">
        <f>AND('Listado General'!#REF!,"AAAAAH+f/7Q=")</f>
        <v>#REF!</v>
      </c>
      <c r="FZ48" t="e">
        <f>AND('Listado General'!#REF!,"AAAAAH+f/7U=")</f>
        <v>#REF!</v>
      </c>
      <c r="GA48" t="e">
        <f>AND('Listado General'!#REF!,"AAAAAH+f/7Y=")</f>
        <v>#REF!</v>
      </c>
      <c r="GB48" t="e">
        <f>IF('Listado General'!#REF!,"AAAAAH+f/7c=",0)</f>
        <v>#REF!</v>
      </c>
      <c r="GC48" t="e">
        <f>AND('Listado General'!#REF!,"AAAAAH+f/7g=")</f>
        <v>#REF!</v>
      </c>
      <c r="GD48" t="e">
        <f>AND('Listado General'!#REF!,"AAAAAH+f/7k=")</f>
        <v>#REF!</v>
      </c>
      <c r="GE48" t="e">
        <f>AND('Listado General'!#REF!,"AAAAAH+f/7o=")</f>
        <v>#REF!</v>
      </c>
      <c r="GF48" t="e">
        <f>AND('Listado General'!#REF!,"AAAAAH+f/7s=")</f>
        <v>#REF!</v>
      </c>
      <c r="GG48" t="e">
        <f>AND('Listado General'!#REF!,"AAAAAH+f/7w=")</f>
        <v>#REF!</v>
      </c>
      <c r="GH48" t="e">
        <f>AND('Listado General'!#REF!,"AAAAAH+f/70=")</f>
        <v>#REF!</v>
      </c>
      <c r="GI48" t="e">
        <f>AND('Listado General'!#REF!,"AAAAAH+f/74=")</f>
        <v>#REF!</v>
      </c>
      <c r="GJ48" t="e">
        <f>AND('Listado General'!#REF!,"AAAAAH+f/78=")</f>
        <v>#REF!</v>
      </c>
      <c r="GK48" t="e">
        <f>AND('Listado General'!#REF!,"AAAAAH+f/8A=")</f>
        <v>#REF!</v>
      </c>
      <c r="GL48" t="e">
        <f>IF('Listado General'!#REF!,"AAAAAH+f/8E=",0)</f>
        <v>#REF!</v>
      </c>
      <c r="GM48" t="e">
        <f>AND('Listado General'!#REF!,"AAAAAH+f/8I=")</f>
        <v>#REF!</v>
      </c>
      <c r="GN48" t="e">
        <f>AND('Listado General'!#REF!,"AAAAAH+f/8M=")</f>
        <v>#REF!</v>
      </c>
      <c r="GO48" t="e">
        <f>AND('Listado General'!#REF!,"AAAAAH+f/8Q=")</f>
        <v>#REF!</v>
      </c>
      <c r="GP48" t="e">
        <f>AND('Listado General'!#REF!,"AAAAAH+f/8U=")</f>
        <v>#REF!</v>
      </c>
      <c r="GQ48" t="e">
        <f>AND('Listado General'!#REF!,"AAAAAH+f/8Y=")</f>
        <v>#REF!</v>
      </c>
      <c r="GR48" t="e">
        <f>AND('Listado General'!#REF!,"AAAAAH+f/8c=")</f>
        <v>#REF!</v>
      </c>
      <c r="GS48" t="e">
        <f>AND('Listado General'!#REF!,"AAAAAH+f/8g=")</f>
        <v>#REF!</v>
      </c>
      <c r="GT48" t="e">
        <f>AND('Listado General'!#REF!,"AAAAAH+f/8k=")</f>
        <v>#REF!</v>
      </c>
      <c r="GU48" t="e">
        <f>AND('Listado General'!#REF!,"AAAAAH+f/8o=")</f>
        <v>#REF!</v>
      </c>
      <c r="GV48" t="e">
        <f>IF('Listado General'!#REF!,"AAAAAH+f/8s=",0)</f>
        <v>#REF!</v>
      </c>
      <c r="GW48" t="e">
        <f>AND('Listado General'!#REF!,"AAAAAH+f/8w=")</f>
        <v>#REF!</v>
      </c>
      <c r="GX48" t="e">
        <f>AND('Listado General'!#REF!,"AAAAAH+f/80=")</f>
        <v>#REF!</v>
      </c>
      <c r="GY48" t="e">
        <f>AND('Listado General'!#REF!,"AAAAAH+f/84=")</f>
        <v>#REF!</v>
      </c>
      <c r="GZ48" t="e">
        <f>AND('Listado General'!#REF!,"AAAAAH+f/88=")</f>
        <v>#REF!</v>
      </c>
      <c r="HA48" t="e">
        <f>AND('Listado General'!#REF!,"AAAAAH+f/9A=")</f>
        <v>#REF!</v>
      </c>
      <c r="HB48" t="e">
        <f>AND('Listado General'!#REF!,"AAAAAH+f/9E=")</f>
        <v>#REF!</v>
      </c>
      <c r="HC48" t="e">
        <f>AND('Listado General'!#REF!,"AAAAAH+f/9I=")</f>
        <v>#REF!</v>
      </c>
      <c r="HD48" t="e">
        <f>AND('Listado General'!#REF!,"AAAAAH+f/9M=")</f>
        <v>#REF!</v>
      </c>
      <c r="HE48" t="e">
        <f>AND('Listado General'!#REF!,"AAAAAH+f/9Q=")</f>
        <v>#REF!</v>
      </c>
      <c r="HF48" t="e">
        <f>IF('Listado General'!#REF!,"AAAAAH+f/9U=",0)</f>
        <v>#REF!</v>
      </c>
      <c r="HG48" t="e">
        <f>AND('Listado General'!#REF!,"AAAAAH+f/9Y=")</f>
        <v>#REF!</v>
      </c>
      <c r="HH48" t="e">
        <f>AND('Listado General'!#REF!,"AAAAAH+f/9c=")</f>
        <v>#REF!</v>
      </c>
      <c r="HI48" t="e">
        <f>AND('Listado General'!#REF!,"AAAAAH+f/9g=")</f>
        <v>#REF!</v>
      </c>
      <c r="HJ48" t="e">
        <f>AND('Listado General'!#REF!,"AAAAAH+f/9k=")</f>
        <v>#REF!</v>
      </c>
      <c r="HK48" t="e">
        <f>AND('Listado General'!#REF!,"AAAAAH+f/9o=")</f>
        <v>#REF!</v>
      </c>
      <c r="HL48" t="e">
        <f>AND('Listado General'!#REF!,"AAAAAH+f/9s=")</f>
        <v>#REF!</v>
      </c>
      <c r="HM48" t="e">
        <f>AND('Listado General'!#REF!,"AAAAAH+f/9w=")</f>
        <v>#REF!</v>
      </c>
      <c r="HN48" t="e">
        <f>AND('Listado General'!#REF!,"AAAAAH+f/90=")</f>
        <v>#REF!</v>
      </c>
      <c r="HO48" t="e">
        <f>AND('Listado General'!#REF!,"AAAAAH+f/94=")</f>
        <v>#REF!</v>
      </c>
      <c r="HP48" t="e">
        <f>IF('Listado General'!#REF!,"AAAAAH+f/98=",0)</f>
        <v>#REF!</v>
      </c>
      <c r="HQ48" t="e">
        <f>AND('Listado General'!#REF!,"AAAAAH+f/+A=")</f>
        <v>#REF!</v>
      </c>
      <c r="HR48" t="e">
        <f>AND('Listado General'!#REF!,"AAAAAH+f/+E=")</f>
        <v>#REF!</v>
      </c>
      <c r="HS48" t="e">
        <f>AND('Listado General'!#REF!,"AAAAAH+f/+I=")</f>
        <v>#REF!</v>
      </c>
      <c r="HT48" t="e">
        <f>AND('Listado General'!#REF!,"AAAAAH+f/+M=")</f>
        <v>#REF!</v>
      </c>
      <c r="HU48" t="e">
        <f>AND('Listado General'!#REF!,"AAAAAH+f/+Q=")</f>
        <v>#REF!</v>
      </c>
      <c r="HV48" t="e">
        <f>AND('Listado General'!#REF!,"AAAAAH+f/+U=")</f>
        <v>#REF!</v>
      </c>
      <c r="HW48" t="e">
        <f>AND('Listado General'!#REF!,"AAAAAH+f/+Y=")</f>
        <v>#REF!</v>
      </c>
      <c r="HX48" t="e">
        <f>AND('Listado General'!#REF!,"AAAAAH+f/+c=")</f>
        <v>#REF!</v>
      </c>
      <c r="HY48" t="e">
        <f>AND('Listado General'!#REF!,"AAAAAH+f/+g=")</f>
        <v>#REF!</v>
      </c>
      <c r="HZ48" t="e">
        <f>IF('Listado General'!#REF!,"AAAAAH+f/+k=",0)</f>
        <v>#REF!</v>
      </c>
      <c r="IA48" t="e">
        <f>AND('Listado General'!#REF!,"AAAAAH+f/+o=")</f>
        <v>#REF!</v>
      </c>
      <c r="IB48" t="e">
        <f>AND('Listado General'!#REF!,"AAAAAH+f/+s=")</f>
        <v>#REF!</v>
      </c>
      <c r="IC48" t="e">
        <f>AND('Listado General'!#REF!,"AAAAAH+f/+w=")</f>
        <v>#REF!</v>
      </c>
      <c r="ID48" t="e">
        <f>AND('Listado General'!#REF!,"AAAAAH+f/+0=")</f>
        <v>#REF!</v>
      </c>
      <c r="IE48" t="e">
        <f>AND('Listado General'!#REF!,"AAAAAH+f/+4=")</f>
        <v>#REF!</v>
      </c>
      <c r="IF48" t="e">
        <f>AND('Listado General'!#REF!,"AAAAAH+f/+8=")</f>
        <v>#REF!</v>
      </c>
      <c r="IG48" t="e">
        <f>AND('Listado General'!#REF!,"AAAAAH+f//A=")</f>
        <v>#REF!</v>
      </c>
      <c r="IH48" t="e">
        <f>AND('Listado General'!#REF!,"AAAAAH+f//E=")</f>
        <v>#REF!</v>
      </c>
      <c r="II48" t="e">
        <f>AND('Listado General'!#REF!,"AAAAAH+f//I=")</f>
        <v>#REF!</v>
      </c>
      <c r="IJ48" t="e">
        <f>IF('Listado General'!#REF!,"AAAAAH+f//M=",0)</f>
        <v>#REF!</v>
      </c>
      <c r="IK48" t="e">
        <f>AND('Listado General'!#REF!,"AAAAAH+f//Q=")</f>
        <v>#REF!</v>
      </c>
      <c r="IL48" t="e">
        <f>AND('Listado General'!#REF!,"AAAAAH+f//U=")</f>
        <v>#REF!</v>
      </c>
      <c r="IM48" t="e">
        <f>AND('Listado General'!#REF!,"AAAAAH+f//Y=")</f>
        <v>#REF!</v>
      </c>
      <c r="IN48" t="e">
        <f>AND('Listado General'!#REF!,"AAAAAH+f//c=")</f>
        <v>#REF!</v>
      </c>
      <c r="IO48" t="e">
        <f>AND('Listado General'!#REF!,"AAAAAH+f//g=")</f>
        <v>#REF!</v>
      </c>
      <c r="IP48" t="e">
        <f>AND('Listado General'!#REF!,"AAAAAH+f//k=")</f>
        <v>#REF!</v>
      </c>
      <c r="IQ48" t="e">
        <f>AND('Listado General'!#REF!,"AAAAAH+f//o=")</f>
        <v>#REF!</v>
      </c>
      <c r="IR48" t="e">
        <f>AND('Listado General'!#REF!,"AAAAAH+f//s=")</f>
        <v>#REF!</v>
      </c>
      <c r="IS48" t="e">
        <f>AND('Listado General'!#REF!,"AAAAAH+f//w=")</f>
        <v>#REF!</v>
      </c>
      <c r="IT48" t="e">
        <f>IF('Listado General'!#REF!,"AAAAAH+f//0=",0)</f>
        <v>#REF!</v>
      </c>
      <c r="IU48" t="e">
        <f>AND('Listado General'!#REF!,"AAAAAH+f//4=")</f>
        <v>#REF!</v>
      </c>
      <c r="IV48" t="e">
        <f>AND('Listado General'!#REF!,"AAAAAH+f//8=")</f>
        <v>#REF!</v>
      </c>
    </row>
    <row r="49" spans="1:256" ht="12.75">
      <c r="A49" t="e">
        <f>AND('Listado General'!#REF!,"AAAAAF1/YQA=")</f>
        <v>#REF!</v>
      </c>
      <c r="B49" t="e">
        <f>AND('Listado General'!#REF!,"AAAAAF1/YQE=")</f>
        <v>#REF!</v>
      </c>
      <c r="C49" t="e">
        <f>AND('Listado General'!#REF!,"AAAAAF1/YQI=")</f>
        <v>#REF!</v>
      </c>
      <c r="D49" t="e">
        <f>AND('Listado General'!#REF!,"AAAAAF1/YQM=")</f>
        <v>#REF!</v>
      </c>
      <c r="E49" t="e">
        <f>AND('Listado General'!#REF!,"AAAAAF1/YQQ=")</f>
        <v>#REF!</v>
      </c>
      <c r="F49" t="e">
        <f>AND('Listado General'!#REF!,"AAAAAF1/YQU=")</f>
        <v>#REF!</v>
      </c>
      <c r="G49" t="e">
        <f>AND('Listado General'!#REF!,"AAAAAF1/YQY=")</f>
        <v>#REF!</v>
      </c>
      <c r="H49" t="e">
        <f>IF('Listado General'!#REF!,"AAAAAF1/YQc=",0)</f>
        <v>#REF!</v>
      </c>
      <c r="I49" t="e">
        <f>AND('Listado General'!#REF!,"AAAAAF1/YQg=")</f>
        <v>#REF!</v>
      </c>
      <c r="J49" t="e">
        <f>AND('Listado General'!#REF!,"AAAAAF1/YQk=")</f>
        <v>#REF!</v>
      </c>
      <c r="K49" t="e">
        <f>AND('Listado General'!#REF!,"AAAAAF1/YQo=")</f>
        <v>#REF!</v>
      </c>
      <c r="L49" t="e">
        <f>AND('Listado General'!#REF!,"AAAAAF1/YQs=")</f>
        <v>#REF!</v>
      </c>
      <c r="M49" t="e">
        <f>AND('Listado General'!#REF!,"AAAAAF1/YQw=")</f>
        <v>#REF!</v>
      </c>
      <c r="N49" t="e">
        <f>AND('Listado General'!#REF!,"AAAAAF1/YQ0=")</f>
        <v>#REF!</v>
      </c>
      <c r="O49" t="e">
        <f>AND('Listado General'!#REF!,"AAAAAF1/YQ4=")</f>
        <v>#REF!</v>
      </c>
      <c r="P49" t="e">
        <f>AND('Listado General'!#REF!,"AAAAAF1/YQ8=")</f>
        <v>#REF!</v>
      </c>
      <c r="Q49" t="e">
        <f>AND('Listado General'!#REF!,"AAAAAF1/YRA=")</f>
        <v>#REF!</v>
      </c>
      <c r="R49" t="e">
        <f>IF('Listado General'!#REF!,"AAAAAF1/YRE=",0)</f>
        <v>#REF!</v>
      </c>
      <c r="S49" t="e">
        <f>AND('Listado General'!#REF!,"AAAAAF1/YRI=")</f>
        <v>#REF!</v>
      </c>
      <c r="T49" t="e">
        <f>AND('Listado General'!#REF!,"AAAAAF1/YRM=")</f>
        <v>#REF!</v>
      </c>
      <c r="U49" t="e">
        <f>AND('Listado General'!#REF!,"AAAAAF1/YRQ=")</f>
        <v>#REF!</v>
      </c>
      <c r="V49" t="e">
        <f>AND('Listado General'!#REF!,"AAAAAF1/YRU=")</f>
        <v>#REF!</v>
      </c>
      <c r="W49" t="e">
        <f>AND('Listado General'!#REF!,"AAAAAF1/YRY=")</f>
        <v>#REF!</v>
      </c>
      <c r="X49" t="e">
        <f>AND('Listado General'!#REF!,"AAAAAF1/YRc=")</f>
        <v>#REF!</v>
      </c>
      <c r="Y49" t="e">
        <f>AND('Listado General'!#REF!,"AAAAAF1/YRg=")</f>
        <v>#REF!</v>
      </c>
      <c r="Z49" t="e">
        <f>AND('Listado General'!#REF!,"AAAAAF1/YRk=")</f>
        <v>#REF!</v>
      </c>
      <c r="AA49" t="e">
        <f>AND('Listado General'!#REF!,"AAAAAF1/YRo=")</f>
        <v>#REF!</v>
      </c>
      <c r="AB49" t="e">
        <f>IF('Listado General'!#REF!,"AAAAAF1/YRs=",0)</f>
        <v>#REF!</v>
      </c>
      <c r="AC49" t="e">
        <f>AND('Listado General'!#REF!,"AAAAAF1/YRw=")</f>
        <v>#REF!</v>
      </c>
      <c r="AD49" t="e">
        <f>AND('Listado General'!#REF!,"AAAAAF1/YR0=")</f>
        <v>#REF!</v>
      </c>
      <c r="AE49" t="e">
        <f>AND('Listado General'!#REF!,"AAAAAF1/YR4=")</f>
        <v>#REF!</v>
      </c>
      <c r="AF49" t="e">
        <f>AND('Listado General'!#REF!,"AAAAAF1/YR8=")</f>
        <v>#REF!</v>
      </c>
      <c r="AG49" t="e">
        <f>AND('Listado General'!#REF!,"AAAAAF1/YSA=")</f>
        <v>#REF!</v>
      </c>
      <c r="AH49" t="e">
        <f>AND('Listado General'!#REF!,"AAAAAF1/YSE=")</f>
        <v>#REF!</v>
      </c>
      <c r="AI49" t="e">
        <f>AND('Listado General'!#REF!,"AAAAAF1/YSI=")</f>
        <v>#REF!</v>
      </c>
      <c r="AJ49" t="e">
        <f>AND('Listado General'!#REF!,"AAAAAF1/YSM=")</f>
        <v>#REF!</v>
      </c>
      <c r="AK49" t="e">
        <f>AND('Listado General'!#REF!,"AAAAAF1/YSQ=")</f>
        <v>#REF!</v>
      </c>
      <c r="AL49" t="e">
        <f>IF('Listado General'!#REF!,"AAAAAF1/YSU=",0)</f>
        <v>#REF!</v>
      </c>
      <c r="AM49" t="e">
        <f>AND('Listado General'!#REF!,"AAAAAF1/YSY=")</f>
        <v>#REF!</v>
      </c>
      <c r="AN49" t="e">
        <f>AND('Listado General'!#REF!,"AAAAAF1/YSc=")</f>
        <v>#REF!</v>
      </c>
      <c r="AO49" t="e">
        <f>AND('Listado General'!#REF!,"AAAAAF1/YSg=")</f>
        <v>#REF!</v>
      </c>
      <c r="AP49" t="e">
        <f>AND('Listado General'!#REF!,"AAAAAF1/YSk=")</f>
        <v>#REF!</v>
      </c>
      <c r="AQ49" t="e">
        <f>AND('Listado General'!#REF!,"AAAAAF1/YSo=")</f>
        <v>#REF!</v>
      </c>
      <c r="AR49" t="e">
        <f>AND('Listado General'!#REF!,"AAAAAF1/YSs=")</f>
        <v>#REF!</v>
      </c>
      <c r="AS49" t="e">
        <f>AND('Listado General'!#REF!,"AAAAAF1/YSw=")</f>
        <v>#REF!</v>
      </c>
      <c r="AT49" t="e">
        <f>AND('Listado General'!#REF!,"AAAAAF1/YS0=")</f>
        <v>#REF!</v>
      </c>
      <c r="AU49" t="e">
        <f>AND('Listado General'!#REF!,"AAAAAF1/YS4=")</f>
        <v>#REF!</v>
      </c>
      <c r="AV49" t="e">
        <f>IF('Listado General'!#REF!,"AAAAAF1/YS8=",0)</f>
        <v>#REF!</v>
      </c>
      <c r="AW49" t="e">
        <f>AND('Listado General'!#REF!,"AAAAAF1/YTA=")</f>
        <v>#REF!</v>
      </c>
      <c r="AX49" t="e">
        <f>AND('Listado General'!#REF!,"AAAAAF1/YTE=")</f>
        <v>#REF!</v>
      </c>
      <c r="AY49" t="e">
        <f>AND('Listado General'!#REF!,"AAAAAF1/YTI=")</f>
        <v>#REF!</v>
      </c>
      <c r="AZ49" t="e">
        <f>AND('Listado General'!#REF!,"AAAAAF1/YTM=")</f>
        <v>#REF!</v>
      </c>
      <c r="BA49" t="e">
        <f>AND('Listado General'!#REF!,"AAAAAF1/YTQ=")</f>
        <v>#REF!</v>
      </c>
      <c r="BB49" t="e">
        <f>AND('Listado General'!#REF!,"AAAAAF1/YTU=")</f>
        <v>#REF!</v>
      </c>
      <c r="BC49" t="e">
        <f>AND('Listado General'!#REF!,"AAAAAF1/YTY=")</f>
        <v>#REF!</v>
      </c>
      <c r="BD49" t="e">
        <f>AND('Listado General'!#REF!,"AAAAAF1/YTc=")</f>
        <v>#REF!</v>
      </c>
      <c r="BE49" t="e">
        <f>AND('Listado General'!#REF!,"AAAAAF1/YTg=")</f>
        <v>#REF!</v>
      </c>
      <c r="BF49" t="e">
        <f>IF('Listado General'!#REF!,"AAAAAF1/YTk=",0)</f>
        <v>#REF!</v>
      </c>
      <c r="BG49" t="e">
        <f>AND('Listado General'!#REF!,"AAAAAF1/YTo=")</f>
        <v>#REF!</v>
      </c>
      <c r="BH49" t="e">
        <f>AND('Listado General'!#REF!,"AAAAAF1/YTs=")</f>
        <v>#REF!</v>
      </c>
      <c r="BI49" t="e">
        <f>AND('Listado General'!#REF!,"AAAAAF1/YTw=")</f>
        <v>#REF!</v>
      </c>
      <c r="BJ49" t="e">
        <f>AND('Listado General'!#REF!,"AAAAAF1/YT0=")</f>
        <v>#REF!</v>
      </c>
      <c r="BK49" t="e">
        <f>AND('Listado General'!#REF!,"AAAAAF1/YT4=")</f>
        <v>#REF!</v>
      </c>
      <c r="BL49" t="e">
        <f>AND('Listado General'!#REF!,"AAAAAF1/YT8=")</f>
        <v>#REF!</v>
      </c>
      <c r="BM49" t="e">
        <f>AND('Listado General'!#REF!,"AAAAAF1/YUA=")</f>
        <v>#REF!</v>
      </c>
      <c r="BN49" t="e">
        <f>AND('Listado General'!#REF!,"AAAAAF1/YUE=")</f>
        <v>#REF!</v>
      </c>
      <c r="BO49" t="e">
        <f>AND('Listado General'!#REF!,"AAAAAF1/YUI=")</f>
        <v>#REF!</v>
      </c>
      <c r="BP49" t="e">
        <f>IF('Listado General'!#REF!,"AAAAAF1/YUM=",0)</f>
        <v>#REF!</v>
      </c>
      <c r="BQ49" t="e">
        <f>AND('Listado General'!#REF!,"AAAAAF1/YUQ=")</f>
        <v>#REF!</v>
      </c>
      <c r="BR49" t="e">
        <f>AND('Listado General'!#REF!,"AAAAAF1/YUU=")</f>
        <v>#REF!</v>
      </c>
      <c r="BS49" t="e">
        <f>AND('Listado General'!#REF!,"AAAAAF1/YUY=")</f>
        <v>#REF!</v>
      </c>
      <c r="BT49" t="e">
        <f>AND('Listado General'!#REF!,"AAAAAF1/YUc=")</f>
        <v>#REF!</v>
      </c>
      <c r="BU49" t="e">
        <f>AND('Listado General'!#REF!,"AAAAAF1/YUg=")</f>
        <v>#REF!</v>
      </c>
      <c r="BV49" t="e">
        <f>AND('Listado General'!#REF!,"AAAAAF1/YUk=")</f>
        <v>#REF!</v>
      </c>
      <c r="BW49" t="e">
        <f>AND('Listado General'!#REF!,"AAAAAF1/YUo=")</f>
        <v>#REF!</v>
      </c>
      <c r="BX49" t="e">
        <f>AND('Listado General'!#REF!,"AAAAAF1/YUs=")</f>
        <v>#REF!</v>
      </c>
      <c r="BY49" t="e">
        <f>AND('Listado General'!#REF!,"AAAAAF1/YUw=")</f>
        <v>#REF!</v>
      </c>
      <c r="BZ49" t="e">
        <f>IF('Listado General'!#REF!,"AAAAAF1/YU0=",0)</f>
        <v>#REF!</v>
      </c>
      <c r="CA49" t="e">
        <f>AND('Listado General'!#REF!,"AAAAAF1/YU4=")</f>
        <v>#REF!</v>
      </c>
      <c r="CB49" t="e">
        <f>AND('Listado General'!#REF!,"AAAAAF1/YU8=")</f>
        <v>#REF!</v>
      </c>
      <c r="CC49" t="e">
        <f>AND('Listado General'!#REF!,"AAAAAF1/YVA=")</f>
        <v>#REF!</v>
      </c>
      <c r="CD49" t="e">
        <f>AND('Listado General'!#REF!,"AAAAAF1/YVE=")</f>
        <v>#REF!</v>
      </c>
      <c r="CE49" t="e">
        <f>AND('Listado General'!#REF!,"AAAAAF1/YVI=")</f>
        <v>#REF!</v>
      </c>
      <c r="CF49" t="e">
        <f>AND('Listado General'!#REF!,"AAAAAF1/YVM=")</f>
        <v>#REF!</v>
      </c>
      <c r="CG49" t="e">
        <f>AND('Listado General'!#REF!,"AAAAAF1/YVQ=")</f>
        <v>#REF!</v>
      </c>
      <c r="CH49" t="e">
        <f>AND('Listado General'!#REF!,"AAAAAF1/YVU=")</f>
        <v>#REF!</v>
      </c>
      <c r="CI49" t="e">
        <f>AND('Listado General'!#REF!,"AAAAAF1/YVY=")</f>
        <v>#REF!</v>
      </c>
      <c r="CJ49" t="e">
        <f>IF('Listado General'!#REF!,"AAAAAF1/YVc=",0)</f>
        <v>#REF!</v>
      </c>
      <c r="CK49" t="e">
        <f>AND('Listado General'!#REF!,"AAAAAF1/YVg=")</f>
        <v>#REF!</v>
      </c>
      <c r="CL49" t="e">
        <f>AND('Listado General'!#REF!,"AAAAAF1/YVk=")</f>
        <v>#REF!</v>
      </c>
      <c r="CM49" t="e">
        <f>AND('Listado General'!#REF!,"AAAAAF1/YVo=")</f>
        <v>#REF!</v>
      </c>
      <c r="CN49" t="e">
        <f>AND('Listado General'!#REF!,"AAAAAF1/YVs=")</f>
        <v>#REF!</v>
      </c>
      <c r="CO49" t="e">
        <f>AND('Listado General'!#REF!,"AAAAAF1/YVw=")</f>
        <v>#REF!</v>
      </c>
      <c r="CP49" t="e">
        <f>AND('Listado General'!#REF!,"AAAAAF1/YV0=")</f>
        <v>#REF!</v>
      </c>
      <c r="CQ49" t="e">
        <f>AND('Listado General'!#REF!,"AAAAAF1/YV4=")</f>
        <v>#REF!</v>
      </c>
      <c r="CR49" t="e">
        <f>AND('Listado General'!#REF!,"AAAAAF1/YV8=")</f>
        <v>#REF!</v>
      </c>
      <c r="CS49" t="e">
        <f>AND('Listado General'!#REF!,"AAAAAF1/YWA=")</f>
        <v>#REF!</v>
      </c>
      <c r="CT49" t="e">
        <f>IF('Listado General'!#REF!,"AAAAAF1/YWE=",0)</f>
        <v>#REF!</v>
      </c>
      <c r="CU49" t="e">
        <f>AND('Listado General'!#REF!,"AAAAAF1/YWI=")</f>
        <v>#REF!</v>
      </c>
      <c r="CV49" t="e">
        <f>AND('Listado General'!#REF!,"AAAAAF1/YWM=")</f>
        <v>#REF!</v>
      </c>
      <c r="CW49" t="e">
        <f>AND('Listado General'!#REF!,"AAAAAF1/YWQ=")</f>
        <v>#REF!</v>
      </c>
      <c r="CX49" t="e">
        <f>AND('Listado General'!#REF!,"AAAAAF1/YWU=")</f>
        <v>#REF!</v>
      </c>
      <c r="CY49" t="e">
        <f>AND('Listado General'!#REF!,"AAAAAF1/YWY=")</f>
        <v>#REF!</v>
      </c>
      <c r="CZ49" t="e">
        <f>AND('Listado General'!#REF!,"AAAAAF1/YWc=")</f>
        <v>#REF!</v>
      </c>
      <c r="DA49" t="e">
        <f>AND('Listado General'!#REF!,"AAAAAF1/YWg=")</f>
        <v>#REF!</v>
      </c>
      <c r="DB49" t="e">
        <f>AND('Listado General'!#REF!,"AAAAAF1/YWk=")</f>
        <v>#REF!</v>
      </c>
      <c r="DC49" t="e">
        <f>AND('Listado General'!#REF!,"AAAAAF1/YWo=")</f>
        <v>#REF!</v>
      </c>
      <c r="DD49" t="e">
        <f>IF('Listado General'!#REF!,"AAAAAF1/YWs=",0)</f>
        <v>#REF!</v>
      </c>
      <c r="DE49" t="e">
        <f>AND('Listado General'!#REF!,"AAAAAF1/YWw=")</f>
        <v>#REF!</v>
      </c>
      <c r="DF49" t="e">
        <f>AND('Listado General'!#REF!,"AAAAAF1/YW0=")</f>
        <v>#REF!</v>
      </c>
      <c r="DG49" t="e">
        <f>AND('Listado General'!#REF!,"AAAAAF1/YW4=")</f>
        <v>#REF!</v>
      </c>
      <c r="DH49" t="e">
        <f>AND('Listado General'!#REF!,"AAAAAF1/YW8=")</f>
        <v>#REF!</v>
      </c>
      <c r="DI49" t="e">
        <f>AND('Listado General'!#REF!,"AAAAAF1/YXA=")</f>
        <v>#REF!</v>
      </c>
      <c r="DJ49" t="e">
        <f>AND('Listado General'!#REF!,"AAAAAF1/YXE=")</f>
        <v>#REF!</v>
      </c>
      <c r="DK49" t="e">
        <f>AND('Listado General'!#REF!,"AAAAAF1/YXI=")</f>
        <v>#REF!</v>
      </c>
      <c r="DL49" t="e">
        <f>AND('Listado General'!#REF!,"AAAAAF1/YXM=")</f>
        <v>#REF!</v>
      </c>
      <c r="DM49" t="e">
        <f>AND('Listado General'!#REF!,"AAAAAF1/YXQ=")</f>
        <v>#REF!</v>
      </c>
      <c r="DN49" t="e">
        <f>IF('Listado General'!#REF!,"AAAAAF1/YXU=",0)</f>
        <v>#REF!</v>
      </c>
      <c r="DO49" t="e">
        <f>AND('Listado General'!#REF!,"AAAAAF1/YXY=")</f>
        <v>#REF!</v>
      </c>
      <c r="DP49" t="e">
        <f>AND('Listado General'!#REF!,"AAAAAF1/YXc=")</f>
        <v>#REF!</v>
      </c>
      <c r="DQ49" t="e">
        <f>AND('Listado General'!#REF!,"AAAAAF1/YXg=")</f>
        <v>#REF!</v>
      </c>
      <c r="DR49" t="e">
        <f>AND('Listado General'!#REF!,"AAAAAF1/YXk=")</f>
        <v>#REF!</v>
      </c>
      <c r="DS49" t="e">
        <f>AND('Listado General'!#REF!,"AAAAAF1/YXo=")</f>
        <v>#REF!</v>
      </c>
      <c r="DT49" t="e">
        <f>AND('Listado General'!#REF!,"AAAAAF1/YXs=")</f>
        <v>#REF!</v>
      </c>
      <c r="DU49" t="e">
        <f>AND('Listado General'!#REF!,"AAAAAF1/YXw=")</f>
        <v>#REF!</v>
      </c>
      <c r="DV49" t="e">
        <f>AND('Listado General'!#REF!,"AAAAAF1/YX0=")</f>
        <v>#REF!</v>
      </c>
      <c r="DW49" t="e">
        <f>AND('Listado General'!#REF!,"AAAAAF1/YX4=")</f>
        <v>#REF!</v>
      </c>
      <c r="DX49" t="e">
        <f>IF('Listado General'!#REF!,"AAAAAF1/YX8=",0)</f>
        <v>#REF!</v>
      </c>
      <c r="DY49" t="e">
        <f>AND('Listado General'!#REF!,"AAAAAF1/YYA=")</f>
        <v>#REF!</v>
      </c>
      <c r="DZ49" t="e">
        <f>AND('Listado General'!#REF!,"AAAAAF1/YYE=")</f>
        <v>#REF!</v>
      </c>
      <c r="EA49" t="e">
        <f>AND('Listado General'!#REF!,"AAAAAF1/YYI=")</f>
        <v>#REF!</v>
      </c>
      <c r="EB49" t="e">
        <f>AND('Listado General'!#REF!,"AAAAAF1/YYM=")</f>
        <v>#REF!</v>
      </c>
      <c r="EC49" t="e">
        <f>AND('Listado General'!#REF!,"AAAAAF1/YYQ=")</f>
        <v>#REF!</v>
      </c>
      <c r="ED49" t="e">
        <f>AND('Listado General'!#REF!,"AAAAAF1/YYU=")</f>
        <v>#REF!</v>
      </c>
      <c r="EE49" t="e">
        <f>AND('Listado General'!#REF!,"AAAAAF1/YYY=")</f>
        <v>#REF!</v>
      </c>
      <c r="EF49" t="e">
        <f>AND('Listado General'!#REF!,"AAAAAF1/YYc=")</f>
        <v>#REF!</v>
      </c>
      <c r="EG49" t="e">
        <f>AND('Listado General'!#REF!,"AAAAAF1/YYg=")</f>
        <v>#REF!</v>
      </c>
      <c r="EH49" t="e">
        <f>IF('Listado General'!#REF!,"AAAAAF1/YYk=",0)</f>
        <v>#REF!</v>
      </c>
      <c r="EI49" t="e">
        <f>AND('Listado General'!#REF!,"AAAAAF1/YYo=")</f>
        <v>#REF!</v>
      </c>
      <c r="EJ49" t="e">
        <f>AND('Listado General'!#REF!,"AAAAAF1/YYs=")</f>
        <v>#REF!</v>
      </c>
      <c r="EK49" t="e">
        <f>AND('Listado General'!#REF!,"AAAAAF1/YYw=")</f>
        <v>#REF!</v>
      </c>
      <c r="EL49" t="e">
        <f>AND('Listado General'!#REF!,"AAAAAF1/YY0=")</f>
        <v>#REF!</v>
      </c>
      <c r="EM49" t="e">
        <f>AND('Listado General'!#REF!,"AAAAAF1/YY4=")</f>
        <v>#REF!</v>
      </c>
      <c r="EN49" t="e">
        <f>AND('Listado General'!#REF!,"AAAAAF1/YY8=")</f>
        <v>#REF!</v>
      </c>
      <c r="EO49" t="e">
        <f>AND('Listado General'!#REF!,"AAAAAF1/YZA=")</f>
        <v>#REF!</v>
      </c>
      <c r="EP49" t="e">
        <f>AND('Listado General'!#REF!,"AAAAAF1/YZE=")</f>
        <v>#REF!</v>
      </c>
      <c r="EQ49" t="e">
        <f>AND('Listado General'!#REF!,"AAAAAF1/YZI=")</f>
        <v>#REF!</v>
      </c>
      <c r="ER49" t="e">
        <f>IF('Listado General'!#REF!,"AAAAAF1/YZM=",0)</f>
        <v>#REF!</v>
      </c>
      <c r="ES49" t="e">
        <f>AND('Listado General'!#REF!,"AAAAAF1/YZQ=")</f>
        <v>#REF!</v>
      </c>
      <c r="ET49" t="e">
        <f>AND('Listado General'!#REF!,"AAAAAF1/YZU=")</f>
        <v>#REF!</v>
      </c>
      <c r="EU49" t="e">
        <f>AND('Listado General'!#REF!,"AAAAAF1/YZY=")</f>
        <v>#REF!</v>
      </c>
      <c r="EV49" t="e">
        <f>AND('Listado General'!#REF!,"AAAAAF1/YZc=")</f>
        <v>#REF!</v>
      </c>
      <c r="EW49" t="e">
        <f>AND('Listado General'!#REF!,"AAAAAF1/YZg=")</f>
        <v>#REF!</v>
      </c>
      <c r="EX49" t="e">
        <f>AND('Listado General'!#REF!,"AAAAAF1/YZk=")</f>
        <v>#REF!</v>
      </c>
      <c r="EY49" t="e">
        <f>AND('Listado General'!#REF!,"AAAAAF1/YZo=")</f>
        <v>#REF!</v>
      </c>
      <c r="EZ49" t="e">
        <f>AND('Listado General'!#REF!,"AAAAAF1/YZs=")</f>
        <v>#REF!</v>
      </c>
      <c r="FA49" t="e">
        <f>AND('Listado General'!#REF!,"AAAAAF1/YZw=")</f>
        <v>#REF!</v>
      </c>
      <c r="FB49" t="e">
        <f>IF('Listado General'!#REF!,"AAAAAF1/YZ0=",0)</f>
        <v>#REF!</v>
      </c>
      <c r="FC49" t="e">
        <f>AND('Listado General'!#REF!,"AAAAAF1/YZ4=")</f>
        <v>#REF!</v>
      </c>
      <c r="FD49" t="e">
        <f>AND('Listado General'!#REF!,"AAAAAF1/YZ8=")</f>
        <v>#REF!</v>
      </c>
      <c r="FE49" t="e">
        <f>AND('Listado General'!#REF!,"AAAAAF1/YaA=")</f>
        <v>#REF!</v>
      </c>
      <c r="FF49" t="e">
        <f>AND('Listado General'!#REF!,"AAAAAF1/YaE=")</f>
        <v>#REF!</v>
      </c>
      <c r="FG49" t="e">
        <f>AND('Listado General'!#REF!,"AAAAAF1/YaI=")</f>
        <v>#REF!</v>
      </c>
      <c r="FH49" t="e">
        <f>AND('Listado General'!#REF!,"AAAAAF1/YaM=")</f>
        <v>#REF!</v>
      </c>
      <c r="FI49" t="e">
        <f>AND('Listado General'!#REF!,"AAAAAF1/YaQ=")</f>
        <v>#REF!</v>
      </c>
      <c r="FJ49" t="e">
        <f>AND('Listado General'!#REF!,"AAAAAF1/YaU=")</f>
        <v>#REF!</v>
      </c>
      <c r="FK49" t="e">
        <f>AND('Listado General'!#REF!,"AAAAAF1/YaY=")</f>
        <v>#REF!</v>
      </c>
      <c r="FL49" t="e">
        <f>IF('Listado General'!#REF!,"AAAAAF1/Yac=",0)</f>
        <v>#REF!</v>
      </c>
      <c r="FM49" t="e">
        <f>AND('Listado General'!#REF!,"AAAAAF1/Yag=")</f>
        <v>#REF!</v>
      </c>
      <c r="FN49" t="e">
        <f>AND('Listado General'!#REF!,"AAAAAF1/Yak=")</f>
        <v>#REF!</v>
      </c>
      <c r="FO49" t="e">
        <f>AND('Listado General'!#REF!,"AAAAAF1/Yao=")</f>
        <v>#REF!</v>
      </c>
      <c r="FP49" t="e">
        <f>AND('Listado General'!#REF!,"AAAAAF1/Yas=")</f>
        <v>#REF!</v>
      </c>
      <c r="FQ49" t="e">
        <f>AND('Listado General'!#REF!,"AAAAAF1/Yaw=")</f>
        <v>#REF!</v>
      </c>
      <c r="FR49" t="e">
        <f>AND('Listado General'!#REF!,"AAAAAF1/Ya0=")</f>
        <v>#REF!</v>
      </c>
      <c r="FS49" t="e">
        <f>AND('Listado General'!#REF!,"AAAAAF1/Ya4=")</f>
        <v>#REF!</v>
      </c>
      <c r="FT49" t="e">
        <f>AND('Listado General'!#REF!,"AAAAAF1/Ya8=")</f>
        <v>#REF!</v>
      </c>
      <c r="FU49" t="e">
        <f>AND('Listado General'!#REF!,"AAAAAF1/YbA=")</f>
        <v>#REF!</v>
      </c>
      <c r="FV49" t="e">
        <f>IF('Listado General'!#REF!,"AAAAAF1/YbE=",0)</f>
        <v>#REF!</v>
      </c>
      <c r="FW49" t="e">
        <f>AND('Listado General'!#REF!,"AAAAAF1/YbI=")</f>
        <v>#REF!</v>
      </c>
      <c r="FX49" t="e">
        <f>AND('Listado General'!#REF!,"AAAAAF1/YbM=")</f>
        <v>#REF!</v>
      </c>
      <c r="FY49" t="e">
        <f>AND('Listado General'!#REF!,"AAAAAF1/YbQ=")</f>
        <v>#REF!</v>
      </c>
      <c r="FZ49" t="e">
        <f>AND('Listado General'!#REF!,"AAAAAF1/YbU=")</f>
        <v>#REF!</v>
      </c>
      <c r="GA49" t="e">
        <f>AND('Listado General'!#REF!,"AAAAAF1/YbY=")</f>
        <v>#REF!</v>
      </c>
      <c r="GB49" t="e">
        <f>AND('Listado General'!#REF!,"AAAAAF1/Ybc=")</f>
        <v>#REF!</v>
      </c>
      <c r="GC49" t="e">
        <f>AND('Listado General'!#REF!,"AAAAAF1/Ybg=")</f>
        <v>#REF!</v>
      </c>
      <c r="GD49" t="e">
        <f>AND('Listado General'!#REF!,"AAAAAF1/Ybk=")</f>
        <v>#REF!</v>
      </c>
      <c r="GE49" t="e">
        <f>AND('Listado General'!#REF!,"AAAAAF1/Ybo=")</f>
        <v>#REF!</v>
      </c>
      <c r="GF49" t="e">
        <f>IF('Listado General'!#REF!,"AAAAAF1/Ybs=",0)</f>
        <v>#REF!</v>
      </c>
      <c r="GG49" t="e">
        <f>AND('Listado General'!#REF!,"AAAAAF1/Ybw=")</f>
        <v>#REF!</v>
      </c>
      <c r="GH49" t="e">
        <f>AND('Listado General'!#REF!,"AAAAAF1/Yb0=")</f>
        <v>#REF!</v>
      </c>
      <c r="GI49" t="e">
        <f>AND('Listado General'!#REF!,"AAAAAF1/Yb4=")</f>
        <v>#REF!</v>
      </c>
      <c r="GJ49" t="e">
        <f>AND('Listado General'!#REF!,"AAAAAF1/Yb8=")</f>
        <v>#REF!</v>
      </c>
      <c r="GK49" t="e">
        <f>AND('Listado General'!#REF!,"AAAAAF1/YcA=")</f>
        <v>#REF!</v>
      </c>
      <c r="GL49" t="e">
        <f>AND('Listado General'!#REF!,"AAAAAF1/YcE=")</f>
        <v>#REF!</v>
      </c>
      <c r="GM49" t="e">
        <f>AND('Listado General'!#REF!,"AAAAAF1/YcI=")</f>
        <v>#REF!</v>
      </c>
      <c r="GN49" t="e">
        <f>AND('Listado General'!#REF!,"AAAAAF1/YcM=")</f>
        <v>#REF!</v>
      </c>
      <c r="GO49" t="e">
        <f>AND('Listado General'!#REF!,"AAAAAF1/YcQ=")</f>
        <v>#REF!</v>
      </c>
      <c r="GP49" t="e">
        <f>IF('Listado General'!#REF!,"AAAAAF1/YcU=",0)</f>
        <v>#REF!</v>
      </c>
      <c r="GQ49" t="e">
        <f>AND('Listado General'!#REF!,"AAAAAF1/YcY=")</f>
        <v>#REF!</v>
      </c>
      <c r="GR49" t="e">
        <f>AND('Listado General'!#REF!,"AAAAAF1/Ycc=")</f>
        <v>#REF!</v>
      </c>
      <c r="GS49" t="e">
        <f>AND('Listado General'!#REF!,"AAAAAF1/Ycg=")</f>
        <v>#REF!</v>
      </c>
      <c r="GT49" t="e">
        <f>AND('Listado General'!#REF!,"AAAAAF1/Yck=")</f>
        <v>#REF!</v>
      </c>
      <c r="GU49" t="e">
        <f>AND('Listado General'!#REF!,"AAAAAF1/Yco=")</f>
        <v>#REF!</v>
      </c>
      <c r="GV49" t="e">
        <f>AND('Listado General'!#REF!,"AAAAAF1/Ycs=")</f>
        <v>#REF!</v>
      </c>
      <c r="GW49" t="e">
        <f>AND('Listado General'!#REF!,"AAAAAF1/Ycw=")</f>
        <v>#REF!</v>
      </c>
      <c r="GX49" t="e">
        <f>AND('Listado General'!#REF!,"AAAAAF1/Yc0=")</f>
        <v>#REF!</v>
      </c>
      <c r="GY49" t="e">
        <f>AND('Listado General'!#REF!,"AAAAAF1/Yc4=")</f>
        <v>#REF!</v>
      </c>
      <c r="GZ49" t="e">
        <f>IF('Listado General'!#REF!,"AAAAAF1/Yc8=",0)</f>
        <v>#REF!</v>
      </c>
      <c r="HA49" t="e">
        <f>AND('Listado General'!#REF!,"AAAAAF1/YdA=")</f>
        <v>#REF!</v>
      </c>
      <c r="HB49" t="e">
        <f>AND('Listado General'!#REF!,"AAAAAF1/YdE=")</f>
        <v>#REF!</v>
      </c>
      <c r="HC49" t="e">
        <f>AND('Listado General'!#REF!,"AAAAAF1/YdI=")</f>
        <v>#REF!</v>
      </c>
      <c r="HD49" t="e">
        <f>AND('Listado General'!#REF!,"AAAAAF1/YdM=")</f>
        <v>#REF!</v>
      </c>
      <c r="HE49" t="e">
        <f>AND('Listado General'!#REF!,"AAAAAF1/YdQ=")</f>
        <v>#REF!</v>
      </c>
      <c r="HF49" t="e">
        <f>AND('Listado General'!#REF!,"AAAAAF1/YdU=")</f>
        <v>#REF!</v>
      </c>
      <c r="HG49" t="e">
        <f>AND('Listado General'!#REF!,"AAAAAF1/YdY=")</f>
        <v>#REF!</v>
      </c>
      <c r="HH49" t="e">
        <f>AND('Listado General'!#REF!,"AAAAAF1/Ydc=")</f>
        <v>#REF!</v>
      </c>
      <c r="HI49" t="e">
        <f>AND('Listado General'!#REF!,"AAAAAF1/Ydg=")</f>
        <v>#REF!</v>
      </c>
      <c r="HJ49" t="e">
        <f>IF('Listado General'!#REF!,"AAAAAF1/Ydk=",0)</f>
        <v>#REF!</v>
      </c>
      <c r="HK49" t="e">
        <f>AND('Listado General'!#REF!,"AAAAAF1/Ydo=")</f>
        <v>#REF!</v>
      </c>
      <c r="HL49" t="e">
        <f>AND('Listado General'!#REF!,"AAAAAF1/Yds=")</f>
        <v>#REF!</v>
      </c>
      <c r="HM49" t="e">
        <f>AND('Listado General'!#REF!,"AAAAAF1/Ydw=")</f>
        <v>#REF!</v>
      </c>
      <c r="HN49" t="e">
        <f>AND('Listado General'!#REF!,"AAAAAF1/Yd0=")</f>
        <v>#REF!</v>
      </c>
      <c r="HO49" t="e">
        <f>AND('Listado General'!#REF!,"AAAAAF1/Yd4=")</f>
        <v>#REF!</v>
      </c>
      <c r="HP49" t="e">
        <f>AND('Listado General'!#REF!,"AAAAAF1/Yd8=")</f>
        <v>#REF!</v>
      </c>
      <c r="HQ49" t="e">
        <f>AND('Listado General'!#REF!,"AAAAAF1/YeA=")</f>
        <v>#REF!</v>
      </c>
      <c r="HR49" t="e">
        <f>AND('Listado General'!#REF!,"AAAAAF1/YeE=")</f>
        <v>#REF!</v>
      </c>
      <c r="HS49" t="e">
        <f>AND('Listado General'!#REF!,"AAAAAF1/YeI=")</f>
        <v>#REF!</v>
      </c>
      <c r="HT49" t="e">
        <f>IF('Listado General'!#REF!,"AAAAAF1/YeM=",0)</f>
        <v>#REF!</v>
      </c>
      <c r="HU49" t="e">
        <f>AND('Listado General'!#REF!,"AAAAAF1/YeQ=")</f>
        <v>#REF!</v>
      </c>
      <c r="HV49" t="e">
        <f>AND('Listado General'!#REF!,"AAAAAF1/YeU=")</f>
        <v>#REF!</v>
      </c>
      <c r="HW49" t="e">
        <f>AND('Listado General'!#REF!,"AAAAAF1/YeY=")</f>
        <v>#REF!</v>
      </c>
      <c r="HX49" t="e">
        <f>AND('Listado General'!#REF!,"AAAAAF1/Yec=")</f>
        <v>#REF!</v>
      </c>
      <c r="HY49" t="e">
        <f>AND('Listado General'!#REF!,"AAAAAF1/Yeg=")</f>
        <v>#REF!</v>
      </c>
      <c r="HZ49" t="e">
        <f>AND('Listado General'!#REF!,"AAAAAF1/Yek=")</f>
        <v>#REF!</v>
      </c>
      <c r="IA49" t="e">
        <f>AND('Listado General'!#REF!,"AAAAAF1/Yeo=")</f>
        <v>#REF!</v>
      </c>
      <c r="IB49" t="e">
        <f>AND('Listado General'!#REF!,"AAAAAF1/Yes=")</f>
        <v>#REF!</v>
      </c>
      <c r="IC49" t="e">
        <f>AND('Listado General'!#REF!,"AAAAAF1/Yew=")</f>
        <v>#REF!</v>
      </c>
      <c r="ID49" t="e">
        <f>IF('Listado General'!#REF!,"AAAAAF1/Ye0=",0)</f>
        <v>#REF!</v>
      </c>
      <c r="IE49" t="e">
        <f>AND('Listado General'!#REF!,"AAAAAF1/Ye4=")</f>
        <v>#REF!</v>
      </c>
      <c r="IF49" t="e">
        <f>AND('Listado General'!#REF!,"AAAAAF1/Ye8=")</f>
        <v>#REF!</v>
      </c>
      <c r="IG49" t="e">
        <f>AND('Listado General'!#REF!,"AAAAAF1/YfA=")</f>
        <v>#REF!</v>
      </c>
      <c r="IH49" t="e">
        <f>AND('Listado General'!#REF!,"AAAAAF1/YfE=")</f>
        <v>#REF!</v>
      </c>
      <c r="II49" t="e">
        <f>AND('Listado General'!#REF!,"AAAAAF1/YfI=")</f>
        <v>#REF!</v>
      </c>
      <c r="IJ49" t="e">
        <f>AND('Listado General'!#REF!,"AAAAAF1/YfM=")</f>
        <v>#REF!</v>
      </c>
      <c r="IK49" t="e">
        <f>AND('Listado General'!#REF!,"AAAAAF1/YfQ=")</f>
        <v>#REF!</v>
      </c>
      <c r="IL49" t="e">
        <f>AND('Listado General'!#REF!,"AAAAAF1/YfU=")</f>
        <v>#REF!</v>
      </c>
      <c r="IM49" t="e">
        <f>AND('Listado General'!#REF!,"AAAAAF1/YfY=")</f>
        <v>#REF!</v>
      </c>
      <c r="IN49" t="e">
        <f>IF('Listado General'!#REF!,"AAAAAF1/Yfc=",0)</f>
        <v>#REF!</v>
      </c>
      <c r="IO49" t="e">
        <f>AND('Listado General'!#REF!,"AAAAAF1/Yfg=")</f>
        <v>#REF!</v>
      </c>
      <c r="IP49" t="e">
        <f>AND('Listado General'!#REF!,"AAAAAF1/Yfk=")</f>
        <v>#REF!</v>
      </c>
      <c r="IQ49" t="e">
        <f>AND('Listado General'!#REF!,"AAAAAF1/Yfo=")</f>
        <v>#REF!</v>
      </c>
      <c r="IR49" t="e">
        <f>AND('Listado General'!#REF!,"AAAAAF1/Yfs=")</f>
        <v>#REF!</v>
      </c>
      <c r="IS49" t="e">
        <f>AND('Listado General'!#REF!,"AAAAAF1/Yfw=")</f>
        <v>#REF!</v>
      </c>
      <c r="IT49" t="e">
        <f>AND('Listado General'!#REF!,"AAAAAF1/Yf0=")</f>
        <v>#REF!</v>
      </c>
      <c r="IU49" t="e">
        <f>AND('Listado General'!#REF!,"AAAAAF1/Yf4=")</f>
        <v>#REF!</v>
      </c>
      <c r="IV49" t="e">
        <f>AND('Listado General'!#REF!,"AAAAAF1/Yf8=")</f>
        <v>#REF!</v>
      </c>
    </row>
    <row r="50" spans="1:256" ht="12.75">
      <c r="A50" t="e">
        <f>AND('Listado General'!#REF!,"AAAAAHvf9AA=")</f>
        <v>#REF!</v>
      </c>
      <c r="B50" t="e">
        <f>IF('Listado General'!#REF!,"AAAAAHvf9AE=",0)</f>
        <v>#REF!</v>
      </c>
      <c r="C50" t="e">
        <f>AND('Listado General'!#REF!,"AAAAAHvf9AI=")</f>
        <v>#REF!</v>
      </c>
      <c r="D50" t="e">
        <f>AND('Listado General'!#REF!,"AAAAAHvf9AM=")</f>
        <v>#REF!</v>
      </c>
      <c r="E50" t="e">
        <f>AND('Listado General'!#REF!,"AAAAAHvf9AQ=")</f>
        <v>#REF!</v>
      </c>
      <c r="F50" t="e">
        <f>AND('Listado General'!#REF!,"AAAAAHvf9AU=")</f>
        <v>#REF!</v>
      </c>
      <c r="G50" t="e">
        <f>AND('Listado General'!#REF!,"AAAAAHvf9AY=")</f>
        <v>#REF!</v>
      </c>
      <c r="H50" t="e">
        <f>AND('Listado General'!#REF!,"AAAAAHvf9Ac=")</f>
        <v>#REF!</v>
      </c>
      <c r="I50" t="e">
        <f>AND('Listado General'!#REF!,"AAAAAHvf9Ag=")</f>
        <v>#REF!</v>
      </c>
      <c r="J50" t="e">
        <f>AND('Listado General'!#REF!,"AAAAAHvf9Ak=")</f>
        <v>#REF!</v>
      </c>
      <c r="K50" t="e">
        <f>AND('Listado General'!#REF!,"AAAAAHvf9Ao=")</f>
        <v>#REF!</v>
      </c>
      <c r="L50" t="e">
        <f>IF('Listado General'!#REF!,"AAAAAHvf9As=",0)</f>
        <v>#REF!</v>
      </c>
      <c r="M50" t="e">
        <f>AND('Listado General'!#REF!,"AAAAAHvf9Aw=")</f>
        <v>#REF!</v>
      </c>
      <c r="N50" t="e">
        <f>AND('Listado General'!#REF!,"AAAAAHvf9A0=")</f>
        <v>#REF!</v>
      </c>
      <c r="O50" t="e">
        <f>AND('Listado General'!#REF!,"AAAAAHvf9A4=")</f>
        <v>#REF!</v>
      </c>
      <c r="P50" t="e">
        <f>AND('Listado General'!#REF!,"AAAAAHvf9A8=")</f>
        <v>#REF!</v>
      </c>
      <c r="Q50" t="e">
        <f>AND('Listado General'!#REF!,"AAAAAHvf9BA=")</f>
        <v>#REF!</v>
      </c>
      <c r="R50" t="e">
        <f>AND('Listado General'!#REF!,"AAAAAHvf9BE=")</f>
        <v>#REF!</v>
      </c>
      <c r="S50" t="e">
        <f>AND('Listado General'!#REF!,"AAAAAHvf9BI=")</f>
        <v>#REF!</v>
      </c>
      <c r="T50" t="e">
        <f>AND('Listado General'!#REF!,"AAAAAHvf9BM=")</f>
        <v>#REF!</v>
      </c>
      <c r="U50" t="e">
        <f>AND('Listado General'!#REF!,"AAAAAHvf9BQ=")</f>
        <v>#REF!</v>
      </c>
      <c r="V50" t="e">
        <f>IF('Listado General'!#REF!,"AAAAAHvf9BU=",0)</f>
        <v>#REF!</v>
      </c>
      <c r="W50" t="e">
        <f>AND('Listado General'!#REF!,"AAAAAHvf9BY=")</f>
        <v>#REF!</v>
      </c>
      <c r="X50" t="e">
        <f>AND('Listado General'!#REF!,"AAAAAHvf9Bc=")</f>
        <v>#REF!</v>
      </c>
      <c r="Y50" t="e">
        <f>AND('Listado General'!#REF!,"AAAAAHvf9Bg=")</f>
        <v>#REF!</v>
      </c>
      <c r="Z50" t="e">
        <f>AND('Listado General'!#REF!,"AAAAAHvf9Bk=")</f>
        <v>#REF!</v>
      </c>
      <c r="AA50" t="e">
        <f>AND('Listado General'!#REF!,"AAAAAHvf9Bo=")</f>
        <v>#REF!</v>
      </c>
      <c r="AB50" t="e">
        <f>AND('Listado General'!#REF!,"AAAAAHvf9Bs=")</f>
        <v>#REF!</v>
      </c>
      <c r="AC50" t="e">
        <f>AND('Listado General'!#REF!,"AAAAAHvf9Bw=")</f>
        <v>#REF!</v>
      </c>
      <c r="AD50" t="e">
        <f>AND('Listado General'!#REF!,"AAAAAHvf9B0=")</f>
        <v>#REF!</v>
      </c>
      <c r="AE50" t="e">
        <f>AND('Listado General'!#REF!,"AAAAAHvf9B4=")</f>
        <v>#REF!</v>
      </c>
      <c r="AF50" t="e">
        <f>IF('Listado General'!#REF!,"AAAAAHvf9B8=",0)</f>
        <v>#REF!</v>
      </c>
      <c r="AG50" t="e">
        <f>AND('Listado General'!#REF!,"AAAAAHvf9CA=")</f>
        <v>#REF!</v>
      </c>
      <c r="AH50" t="e">
        <f>AND('Listado General'!#REF!,"AAAAAHvf9CE=")</f>
        <v>#REF!</v>
      </c>
      <c r="AI50" t="e">
        <f>AND('Listado General'!#REF!,"AAAAAHvf9CI=")</f>
        <v>#REF!</v>
      </c>
      <c r="AJ50" t="e">
        <f>AND('Listado General'!#REF!,"AAAAAHvf9CM=")</f>
        <v>#REF!</v>
      </c>
      <c r="AK50" t="e">
        <f>AND('Listado General'!#REF!,"AAAAAHvf9CQ=")</f>
        <v>#REF!</v>
      </c>
      <c r="AL50" t="e">
        <f>AND('Listado General'!#REF!,"AAAAAHvf9CU=")</f>
        <v>#REF!</v>
      </c>
      <c r="AM50" t="e">
        <f>AND('Listado General'!#REF!,"AAAAAHvf9CY=")</f>
        <v>#REF!</v>
      </c>
      <c r="AN50" t="e">
        <f>AND('Listado General'!#REF!,"AAAAAHvf9Cc=")</f>
        <v>#REF!</v>
      </c>
      <c r="AO50" t="e">
        <f>AND('Listado General'!#REF!,"AAAAAHvf9Cg=")</f>
        <v>#REF!</v>
      </c>
      <c r="AP50" t="e">
        <f>IF('Listado General'!#REF!,"AAAAAHvf9Ck=",0)</f>
        <v>#REF!</v>
      </c>
      <c r="AQ50" t="e">
        <f>AND('Listado General'!#REF!,"AAAAAHvf9Co=")</f>
        <v>#REF!</v>
      </c>
      <c r="AR50" t="e">
        <f>AND('Listado General'!#REF!,"AAAAAHvf9Cs=")</f>
        <v>#REF!</v>
      </c>
      <c r="AS50" t="e">
        <f>AND('Listado General'!#REF!,"AAAAAHvf9Cw=")</f>
        <v>#REF!</v>
      </c>
      <c r="AT50" t="e">
        <f>AND('Listado General'!#REF!,"AAAAAHvf9C0=")</f>
        <v>#REF!</v>
      </c>
      <c r="AU50" t="e">
        <f>AND('Listado General'!#REF!,"AAAAAHvf9C4=")</f>
        <v>#REF!</v>
      </c>
      <c r="AV50" t="e">
        <f>AND('Listado General'!#REF!,"AAAAAHvf9C8=")</f>
        <v>#REF!</v>
      </c>
      <c r="AW50" t="e">
        <f>AND('Listado General'!#REF!,"AAAAAHvf9DA=")</f>
        <v>#REF!</v>
      </c>
      <c r="AX50" t="e">
        <f>AND('Listado General'!#REF!,"AAAAAHvf9DE=")</f>
        <v>#REF!</v>
      </c>
      <c r="AY50" t="e">
        <f>AND('Listado General'!#REF!,"AAAAAHvf9DI=")</f>
        <v>#REF!</v>
      </c>
      <c r="AZ50" t="e">
        <f>IF('Listado General'!#REF!,"AAAAAHvf9DM=",0)</f>
        <v>#REF!</v>
      </c>
      <c r="BA50" t="e">
        <f>AND('Listado General'!#REF!,"AAAAAHvf9DQ=")</f>
        <v>#REF!</v>
      </c>
      <c r="BB50" t="e">
        <f>AND('Listado General'!#REF!,"AAAAAHvf9DU=")</f>
        <v>#REF!</v>
      </c>
      <c r="BC50" t="e">
        <f>AND('Listado General'!#REF!,"AAAAAHvf9DY=")</f>
        <v>#REF!</v>
      </c>
      <c r="BD50" t="e">
        <f>AND('Listado General'!#REF!,"AAAAAHvf9Dc=")</f>
        <v>#REF!</v>
      </c>
      <c r="BE50" t="e">
        <f>AND('Listado General'!#REF!,"AAAAAHvf9Dg=")</f>
        <v>#REF!</v>
      </c>
      <c r="BF50" t="e">
        <f>AND('Listado General'!#REF!,"AAAAAHvf9Dk=")</f>
        <v>#REF!</v>
      </c>
      <c r="BG50" t="e">
        <f>AND('Listado General'!#REF!,"AAAAAHvf9Do=")</f>
        <v>#REF!</v>
      </c>
      <c r="BH50" t="e">
        <f>AND('Listado General'!#REF!,"AAAAAHvf9Ds=")</f>
        <v>#REF!</v>
      </c>
      <c r="BI50" t="e">
        <f>AND('Listado General'!#REF!,"AAAAAHvf9Dw=")</f>
        <v>#REF!</v>
      </c>
      <c r="BJ50" t="e">
        <f>IF('Listado General'!#REF!,"AAAAAHvf9D0=",0)</f>
        <v>#REF!</v>
      </c>
      <c r="BK50" t="e">
        <f>AND('Listado General'!#REF!,"AAAAAHvf9D4=")</f>
        <v>#REF!</v>
      </c>
      <c r="BL50" t="e">
        <f>AND('Listado General'!#REF!,"AAAAAHvf9D8=")</f>
        <v>#REF!</v>
      </c>
      <c r="BM50" t="e">
        <f>AND('Listado General'!#REF!,"AAAAAHvf9EA=")</f>
        <v>#REF!</v>
      </c>
      <c r="BN50" t="e">
        <f>AND('Listado General'!#REF!,"AAAAAHvf9EE=")</f>
        <v>#REF!</v>
      </c>
      <c r="BO50" t="e">
        <f>AND('Listado General'!#REF!,"AAAAAHvf9EI=")</f>
        <v>#REF!</v>
      </c>
      <c r="BP50" t="e">
        <f>AND('Listado General'!#REF!,"AAAAAHvf9EM=")</f>
        <v>#REF!</v>
      </c>
      <c r="BQ50" t="e">
        <f>AND('Listado General'!#REF!,"AAAAAHvf9EQ=")</f>
        <v>#REF!</v>
      </c>
      <c r="BR50" t="e">
        <f>AND('Listado General'!#REF!,"AAAAAHvf9EU=")</f>
        <v>#REF!</v>
      </c>
      <c r="BS50" t="e">
        <f>AND('Listado General'!#REF!,"AAAAAHvf9EY=")</f>
        <v>#REF!</v>
      </c>
      <c r="BT50" t="e">
        <f>IF('Listado General'!#REF!,"AAAAAHvf9Ec=",0)</f>
        <v>#REF!</v>
      </c>
      <c r="BU50" t="e">
        <f>AND('Listado General'!#REF!,"AAAAAHvf9Eg=")</f>
        <v>#REF!</v>
      </c>
      <c r="BV50" t="e">
        <f>AND('Listado General'!#REF!,"AAAAAHvf9Ek=")</f>
        <v>#REF!</v>
      </c>
      <c r="BW50" t="e">
        <f>AND('Listado General'!#REF!,"AAAAAHvf9Eo=")</f>
        <v>#REF!</v>
      </c>
      <c r="BX50" t="e">
        <f>AND('Listado General'!#REF!,"AAAAAHvf9Es=")</f>
        <v>#REF!</v>
      </c>
      <c r="BY50" t="e">
        <f>AND('Listado General'!#REF!,"AAAAAHvf9Ew=")</f>
        <v>#REF!</v>
      </c>
      <c r="BZ50" t="e">
        <f>AND('Listado General'!#REF!,"AAAAAHvf9E0=")</f>
        <v>#REF!</v>
      </c>
      <c r="CA50" t="e">
        <f>AND('Listado General'!#REF!,"AAAAAHvf9E4=")</f>
        <v>#REF!</v>
      </c>
      <c r="CB50" t="e">
        <f>AND('Listado General'!#REF!,"AAAAAHvf9E8=")</f>
        <v>#REF!</v>
      </c>
      <c r="CC50" t="e">
        <f>AND('Listado General'!#REF!,"AAAAAHvf9FA=")</f>
        <v>#REF!</v>
      </c>
      <c r="CD50" t="e">
        <f>IF('Listado General'!#REF!,"AAAAAHvf9FE=",0)</f>
        <v>#REF!</v>
      </c>
      <c r="CE50" t="e">
        <f>AND('Listado General'!#REF!,"AAAAAHvf9FI=")</f>
        <v>#REF!</v>
      </c>
      <c r="CF50" t="e">
        <f>AND('Listado General'!#REF!,"AAAAAHvf9FM=")</f>
        <v>#REF!</v>
      </c>
      <c r="CG50" t="e">
        <f>AND('Listado General'!#REF!,"AAAAAHvf9FQ=")</f>
        <v>#REF!</v>
      </c>
      <c r="CH50" t="e">
        <f>AND('Listado General'!#REF!,"AAAAAHvf9FU=")</f>
        <v>#REF!</v>
      </c>
      <c r="CI50" t="e">
        <f>AND('Listado General'!#REF!,"AAAAAHvf9FY=")</f>
        <v>#REF!</v>
      </c>
      <c r="CJ50" t="e">
        <f>AND('Listado General'!#REF!,"AAAAAHvf9Fc=")</f>
        <v>#REF!</v>
      </c>
      <c r="CK50" t="e">
        <f>AND('Listado General'!#REF!,"AAAAAHvf9Fg=")</f>
        <v>#REF!</v>
      </c>
      <c r="CL50" t="e">
        <f>AND('Listado General'!#REF!,"AAAAAHvf9Fk=")</f>
        <v>#REF!</v>
      </c>
      <c r="CM50" t="e">
        <f>AND('Listado General'!#REF!,"AAAAAHvf9Fo=")</f>
        <v>#REF!</v>
      </c>
      <c r="CN50" t="e">
        <f>IF('Listado General'!#REF!,"AAAAAHvf9Fs=",0)</f>
        <v>#REF!</v>
      </c>
      <c r="CO50" t="e">
        <f>AND('Listado General'!#REF!,"AAAAAHvf9Fw=")</f>
        <v>#REF!</v>
      </c>
      <c r="CP50" t="e">
        <f>AND('Listado General'!#REF!,"AAAAAHvf9F0=")</f>
        <v>#REF!</v>
      </c>
      <c r="CQ50" t="e">
        <f>AND('Listado General'!#REF!,"AAAAAHvf9F4=")</f>
        <v>#REF!</v>
      </c>
      <c r="CR50" t="e">
        <f>AND('Listado General'!#REF!,"AAAAAHvf9F8=")</f>
        <v>#REF!</v>
      </c>
      <c r="CS50" t="e">
        <f>AND('Listado General'!#REF!,"AAAAAHvf9GA=")</f>
        <v>#REF!</v>
      </c>
      <c r="CT50" t="e">
        <f>AND('Listado General'!#REF!,"AAAAAHvf9GE=")</f>
        <v>#REF!</v>
      </c>
      <c r="CU50" t="e">
        <f>AND('Listado General'!#REF!,"AAAAAHvf9GI=")</f>
        <v>#REF!</v>
      </c>
      <c r="CV50" t="e">
        <f>AND('Listado General'!#REF!,"AAAAAHvf9GM=")</f>
        <v>#REF!</v>
      </c>
      <c r="CW50" t="e">
        <f>AND('Listado General'!#REF!,"AAAAAHvf9GQ=")</f>
        <v>#REF!</v>
      </c>
      <c r="CX50" t="e">
        <f>IF('Listado General'!#REF!,"AAAAAHvf9GU=",0)</f>
        <v>#REF!</v>
      </c>
      <c r="CY50" t="e">
        <f>AND('Listado General'!#REF!,"AAAAAHvf9GY=")</f>
        <v>#REF!</v>
      </c>
      <c r="CZ50" t="e">
        <f>AND('Listado General'!#REF!,"AAAAAHvf9Gc=")</f>
        <v>#REF!</v>
      </c>
      <c r="DA50" t="e">
        <f>AND('Listado General'!#REF!,"AAAAAHvf9Gg=")</f>
        <v>#REF!</v>
      </c>
      <c r="DB50" t="e">
        <f>AND('Listado General'!#REF!,"AAAAAHvf9Gk=")</f>
        <v>#REF!</v>
      </c>
      <c r="DC50" t="e">
        <f>AND('Listado General'!#REF!,"AAAAAHvf9Go=")</f>
        <v>#REF!</v>
      </c>
      <c r="DD50" t="e">
        <f>AND('Listado General'!#REF!,"AAAAAHvf9Gs=")</f>
        <v>#REF!</v>
      </c>
      <c r="DE50" t="e">
        <f>AND('Listado General'!#REF!,"AAAAAHvf9Gw=")</f>
        <v>#REF!</v>
      </c>
      <c r="DF50" t="e">
        <f>AND('Listado General'!#REF!,"AAAAAHvf9G0=")</f>
        <v>#REF!</v>
      </c>
      <c r="DG50" t="e">
        <f>AND('Listado General'!#REF!,"AAAAAHvf9G4=")</f>
        <v>#REF!</v>
      </c>
      <c r="DH50" t="e">
        <f>IF('Listado General'!#REF!,"AAAAAHvf9G8=",0)</f>
        <v>#REF!</v>
      </c>
      <c r="DI50" t="e">
        <f>AND('Listado General'!#REF!,"AAAAAHvf9HA=")</f>
        <v>#REF!</v>
      </c>
      <c r="DJ50" t="e">
        <f>AND('Listado General'!#REF!,"AAAAAHvf9HE=")</f>
        <v>#REF!</v>
      </c>
      <c r="DK50" t="e">
        <f>AND('Listado General'!#REF!,"AAAAAHvf9HI=")</f>
        <v>#REF!</v>
      </c>
      <c r="DL50" t="e">
        <f>AND('Listado General'!#REF!,"AAAAAHvf9HM=")</f>
        <v>#REF!</v>
      </c>
      <c r="DM50" t="e">
        <f>AND('Listado General'!#REF!,"AAAAAHvf9HQ=")</f>
        <v>#REF!</v>
      </c>
      <c r="DN50" t="e">
        <f>AND('Listado General'!#REF!,"AAAAAHvf9HU=")</f>
        <v>#REF!</v>
      </c>
      <c r="DO50" t="e">
        <f>AND('Listado General'!#REF!,"AAAAAHvf9HY=")</f>
        <v>#REF!</v>
      </c>
      <c r="DP50" t="e">
        <f>AND('Listado General'!#REF!,"AAAAAHvf9Hc=")</f>
        <v>#REF!</v>
      </c>
      <c r="DQ50" t="e">
        <f>AND('Listado General'!#REF!,"AAAAAHvf9Hg=")</f>
        <v>#REF!</v>
      </c>
      <c r="DR50" t="e">
        <f>IF('Listado General'!#REF!,"AAAAAHvf9Hk=",0)</f>
        <v>#REF!</v>
      </c>
      <c r="DS50" t="e">
        <f>AND('Listado General'!#REF!,"AAAAAHvf9Ho=")</f>
        <v>#REF!</v>
      </c>
      <c r="DT50" t="e">
        <f>AND('Listado General'!#REF!,"AAAAAHvf9Hs=")</f>
        <v>#REF!</v>
      </c>
      <c r="DU50" t="e">
        <f>AND('Listado General'!#REF!,"AAAAAHvf9Hw=")</f>
        <v>#REF!</v>
      </c>
      <c r="DV50" t="e">
        <f>AND('Listado General'!#REF!,"AAAAAHvf9H0=")</f>
        <v>#REF!</v>
      </c>
      <c r="DW50" t="e">
        <f>AND('Listado General'!#REF!,"AAAAAHvf9H4=")</f>
        <v>#REF!</v>
      </c>
      <c r="DX50" t="e">
        <f>AND('Listado General'!#REF!,"AAAAAHvf9H8=")</f>
        <v>#REF!</v>
      </c>
      <c r="DY50" t="e">
        <f>AND('Listado General'!#REF!,"AAAAAHvf9IA=")</f>
        <v>#REF!</v>
      </c>
      <c r="DZ50" t="e">
        <f>AND('Listado General'!#REF!,"AAAAAHvf9IE=")</f>
        <v>#REF!</v>
      </c>
      <c r="EA50" t="e">
        <f>AND('Listado General'!#REF!,"AAAAAHvf9II=")</f>
        <v>#REF!</v>
      </c>
      <c r="EB50" t="e">
        <f>IF('Listado General'!#REF!,"AAAAAHvf9IM=",0)</f>
        <v>#REF!</v>
      </c>
      <c r="EC50" t="e">
        <f>AND('Listado General'!#REF!,"AAAAAHvf9IQ=")</f>
        <v>#REF!</v>
      </c>
      <c r="ED50" t="e">
        <f>AND('Listado General'!#REF!,"AAAAAHvf9IU=")</f>
        <v>#REF!</v>
      </c>
      <c r="EE50" t="e">
        <f>AND('Listado General'!#REF!,"AAAAAHvf9IY=")</f>
        <v>#REF!</v>
      </c>
      <c r="EF50" t="e">
        <f>AND('Listado General'!#REF!,"AAAAAHvf9Ic=")</f>
        <v>#REF!</v>
      </c>
      <c r="EG50" t="e">
        <f>AND('Listado General'!#REF!,"AAAAAHvf9Ig=")</f>
        <v>#REF!</v>
      </c>
      <c r="EH50" t="e">
        <f>AND('Listado General'!#REF!,"AAAAAHvf9Ik=")</f>
        <v>#REF!</v>
      </c>
      <c r="EI50" t="e">
        <f>AND('Listado General'!#REF!,"AAAAAHvf9Io=")</f>
        <v>#REF!</v>
      </c>
      <c r="EJ50" t="e">
        <f>AND('Listado General'!#REF!,"AAAAAHvf9Is=")</f>
        <v>#REF!</v>
      </c>
      <c r="EK50" t="e">
        <f>AND('Listado General'!#REF!,"AAAAAHvf9Iw=")</f>
        <v>#REF!</v>
      </c>
      <c r="EL50" t="e">
        <f>IF('Listado General'!#REF!,"AAAAAHvf9I0=",0)</f>
        <v>#REF!</v>
      </c>
      <c r="EM50" t="e">
        <f>AND('Listado General'!#REF!,"AAAAAHvf9I4=")</f>
        <v>#REF!</v>
      </c>
      <c r="EN50" t="e">
        <f>AND('Listado General'!#REF!,"AAAAAHvf9I8=")</f>
        <v>#REF!</v>
      </c>
      <c r="EO50" t="e">
        <f>AND('Listado General'!#REF!,"AAAAAHvf9JA=")</f>
        <v>#REF!</v>
      </c>
      <c r="EP50" t="e">
        <f>AND('Listado General'!#REF!,"AAAAAHvf9JE=")</f>
        <v>#REF!</v>
      </c>
      <c r="EQ50" t="e">
        <f>AND('Listado General'!#REF!,"AAAAAHvf9JI=")</f>
        <v>#REF!</v>
      </c>
      <c r="ER50" t="e">
        <f>AND('Listado General'!#REF!,"AAAAAHvf9JM=")</f>
        <v>#REF!</v>
      </c>
      <c r="ES50" t="e">
        <f>AND('Listado General'!#REF!,"AAAAAHvf9JQ=")</f>
        <v>#REF!</v>
      </c>
      <c r="ET50" t="e">
        <f>AND('Listado General'!#REF!,"AAAAAHvf9JU=")</f>
        <v>#REF!</v>
      </c>
      <c r="EU50" t="e">
        <f>AND('Listado General'!#REF!,"AAAAAHvf9JY=")</f>
        <v>#REF!</v>
      </c>
      <c r="EV50" t="e">
        <f>IF('Listado General'!#REF!,"AAAAAHvf9Jc=",0)</f>
        <v>#REF!</v>
      </c>
      <c r="EW50" t="e">
        <f>AND('Listado General'!#REF!,"AAAAAHvf9Jg=")</f>
        <v>#REF!</v>
      </c>
      <c r="EX50" t="e">
        <f>AND('Listado General'!#REF!,"AAAAAHvf9Jk=")</f>
        <v>#REF!</v>
      </c>
      <c r="EY50" t="e">
        <f>AND('Listado General'!#REF!,"AAAAAHvf9Jo=")</f>
        <v>#REF!</v>
      </c>
      <c r="EZ50" t="e">
        <f>AND('Listado General'!#REF!,"AAAAAHvf9Js=")</f>
        <v>#REF!</v>
      </c>
      <c r="FA50" t="e">
        <f>AND('Listado General'!#REF!,"AAAAAHvf9Jw=")</f>
        <v>#REF!</v>
      </c>
      <c r="FB50" t="e">
        <f>AND('Listado General'!#REF!,"AAAAAHvf9J0=")</f>
        <v>#REF!</v>
      </c>
      <c r="FC50" t="e">
        <f>AND('Listado General'!#REF!,"AAAAAHvf9J4=")</f>
        <v>#REF!</v>
      </c>
      <c r="FD50" t="e">
        <f>AND('Listado General'!#REF!,"AAAAAHvf9J8=")</f>
        <v>#REF!</v>
      </c>
      <c r="FE50" t="e">
        <f>AND('Listado General'!#REF!,"AAAAAHvf9KA=")</f>
        <v>#REF!</v>
      </c>
      <c r="FF50" t="e">
        <f>IF('Listado General'!#REF!,"AAAAAHvf9KE=",0)</f>
        <v>#REF!</v>
      </c>
      <c r="FG50" t="e">
        <f>AND('Listado General'!#REF!,"AAAAAHvf9KI=")</f>
        <v>#REF!</v>
      </c>
      <c r="FH50" t="e">
        <f>AND('Listado General'!#REF!,"AAAAAHvf9KM=")</f>
        <v>#REF!</v>
      </c>
      <c r="FI50" t="e">
        <f>AND('Listado General'!#REF!,"AAAAAHvf9KQ=")</f>
        <v>#REF!</v>
      </c>
      <c r="FJ50" t="e">
        <f>AND('Listado General'!#REF!,"AAAAAHvf9KU=")</f>
        <v>#REF!</v>
      </c>
      <c r="FK50" t="e">
        <f>AND('Listado General'!#REF!,"AAAAAHvf9KY=")</f>
        <v>#REF!</v>
      </c>
      <c r="FL50" t="e">
        <f>AND('Listado General'!#REF!,"AAAAAHvf9Kc=")</f>
        <v>#REF!</v>
      </c>
      <c r="FM50" t="e">
        <f>AND('Listado General'!#REF!,"AAAAAHvf9Kg=")</f>
        <v>#REF!</v>
      </c>
      <c r="FN50" t="e">
        <f>AND('Listado General'!#REF!,"AAAAAHvf9Kk=")</f>
        <v>#REF!</v>
      </c>
      <c r="FO50" t="e">
        <f>AND('Listado General'!#REF!,"AAAAAHvf9Ko=")</f>
        <v>#REF!</v>
      </c>
      <c r="FP50" t="e">
        <f>IF('Listado General'!#REF!,"AAAAAHvf9Ks=",0)</f>
        <v>#REF!</v>
      </c>
      <c r="FQ50" t="e">
        <f>AND('Listado General'!#REF!,"AAAAAHvf9Kw=")</f>
        <v>#REF!</v>
      </c>
      <c r="FR50" t="e">
        <f>AND('Listado General'!#REF!,"AAAAAHvf9K0=")</f>
        <v>#REF!</v>
      </c>
      <c r="FS50" t="e">
        <f>AND('Listado General'!#REF!,"AAAAAHvf9K4=")</f>
        <v>#REF!</v>
      </c>
      <c r="FT50" t="e">
        <f>AND('Listado General'!#REF!,"AAAAAHvf9K8=")</f>
        <v>#REF!</v>
      </c>
      <c r="FU50" t="e">
        <f>AND('Listado General'!#REF!,"AAAAAHvf9LA=")</f>
        <v>#REF!</v>
      </c>
      <c r="FV50" t="e">
        <f>AND('Listado General'!#REF!,"AAAAAHvf9LE=")</f>
        <v>#REF!</v>
      </c>
      <c r="FW50" t="e">
        <f>AND('Listado General'!#REF!,"AAAAAHvf9LI=")</f>
        <v>#REF!</v>
      </c>
      <c r="FX50" t="e">
        <f>AND('Listado General'!#REF!,"AAAAAHvf9LM=")</f>
        <v>#REF!</v>
      </c>
      <c r="FY50" t="e">
        <f>AND('Listado General'!#REF!,"AAAAAHvf9LQ=")</f>
        <v>#REF!</v>
      </c>
      <c r="FZ50" t="e">
        <f>IF('Listado General'!#REF!,"AAAAAHvf9LU=",0)</f>
        <v>#REF!</v>
      </c>
      <c r="GA50" t="e">
        <f>AND('Listado General'!#REF!,"AAAAAHvf9LY=")</f>
        <v>#REF!</v>
      </c>
      <c r="GB50" t="e">
        <f>AND('Listado General'!#REF!,"AAAAAHvf9Lc=")</f>
        <v>#REF!</v>
      </c>
      <c r="GC50" t="e">
        <f>AND('Listado General'!#REF!,"AAAAAHvf9Lg=")</f>
        <v>#REF!</v>
      </c>
      <c r="GD50" t="e">
        <f>AND('Listado General'!#REF!,"AAAAAHvf9Lk=")</f>
        <v>#REF!</v>
      </c>
      <c r="GE50" t="e">
        <f>AND('Listado General'!#REF!,"AAAAAHvf9Lo=")</f>
        <v>#REF!</v>
      </c>
      <c r="GF50" t="e">
        <f>AND('Listado General'!#REF!,"AAAAAHvf9Ls=")</f>
        <v>#REF!</v>
      </c>
      <c r="GG50" t="e">
        <f>AND('Listado General'!#REF!,"AAAAAHvf9Lw=")</f>
        <v>#REF!</v>
      </c>
      <c r="GH50" t="e">
        <f>AND('Listado General'!#REF!,"AAAAAHvf9L0=")</f>
        <v>#REF!</v>
      </c>
      <c r="GI50" t="e">
        <f>AND('Listado General'!#REF!,"AAAAAHvf9L4=")</f>
        <v>#REF!</v>
      </c>
      <c r="GJ50" t="e">
        <f>IF('Listado General'!#REF!,"AAAAAHvf9L8=",0)</f>
        <v>#REF!</v>
      </c>
      <c r="GK50" t="e">
        <f>AND('Listado General'!#REF!,"AAAAAHvf9MA=")</f>
        <v>#REF!</v>
      </c>
      <c r="GL50" t="e">
        <f>AND('Listado General'!#REF!,"AAAAAHvf9ME=")</f>
        <v>#REF!</v>
      </c>
      <c r="GM50" t="e">
        <f>AND('Listado General'!#REF!,"AAAAAHvf9MI=")</f>
        <v>#REF!</v>
      </c>
      <c r="GN50" t="e">
        <f>AND('Listado General'!#REF!,"AAAAAHvf9MM=")</f>
        <v>#REF!</v>
      </c>
      <c r="GO50" t="e">
        <f>AND('Listado General'!#REF!,"AAAAAHvf9MQ=")</f>
        <v>#REF!</v>
      </c>
      <c r="GP50" t="e">
        <f>AND('Listado General'!#REF!,"AAAAAHvf9MU=")</f>
        <v>#REF!</v>
      </c>
      <c r="GQ50" t="e">
        <f>AND('Listado General'!#REF!,"AAAAAHvf9MY=")</f>
        <v>#REF!</v>
      </c>
      <c r="GR50" t="e">
        <f>AND('Listado General'!#REF!,"AAAAAHvf9Mc=")</f>
        <v>#REF!</v>
      </c>
      <c r="GS50" t="e">
        <f>AND('Listado General'!#REF!,"AAAAAHvf9Mg=")</f>
        <v>#REF!</v>
      </c>
      <c r="GT50" t="e">
        <f>IF('Listado General'!#REF!,"AAAAAHvf9Mk=",0)</f>
        <v>#REF!</v>
      </c>
      <c r="GU50" t="e">
        <f>AND('Listado General'!#REF!,"AAAAAHvf9Mo=")</f>
        <v>#REF!</v>
      </c>
      <c r="GV50" t="e">
        <f>AND('Listado General'!#REF!,"AAAAAHvf9Ms=")</f>
        <v>#REF!</v>
      </c>
      <c r="GW50" t="e">
        <f>AND('Listado General'!#REF!,"AAAAAHvf9Mw=")</f>
        <v>#REF!</v>
      </c>
      <c r="GX50" t="e">
        <f>AND('Listado General'!#REF!,"AAAAAHvf9M0=")</f>
        <v>#REF!</v>
      </c>
      <c r="GY50" t="e">
        <f>AND('Listado General'!#REF!,"AAAAAHvf9M4=")</f>
        <v>#REF!</v>
      </c>
      <c r="GZ50" t="e">
        <f>AND('Listado General'!#REF!,"AAAAAHvf9M8=")</f>
        <v>#REF!</v>
      </c>
      <c r="HA50" t="e">
        <f>AND('Listado General'!#REF!,"AAAAAHvf9NA=")</f>
        <v>#REF!</v>
      </c>
      <c r="HB50" t="e">
        <f>AND('Listado General'!#REF!,"AAAAAHvf9NE=")</f>
        <v>#REF!</v>
      </c>
      <c r="HC50" t="e">
        <f>AND('Listado General'!#REF!,"AAAAAHvf9NI=")</f>
        <v>#REF!</v>
      </c>
      <c r="HD50" t="e">
        <f>IF('Listado General'!#REF!,"AAAAAHvf9NM=",0)</f>
        <v>#REF!</v>
      </c>
      <c r="HE50" t="e">
        <f>AND('Listado General'!#REF!,"AAAAAHvf9NQ=")</f>
        <v>#REF!</v>
      </c>
      <c r="HF50" t="e">
        <f>AND('Listado General'!#REF!,"AAAAAHvf9NU=")</f>
        <v>#REF!</v>
      </c>
      <c r="HG50" t="e">
        <f>AND('Listado General'!#REF!,"AAAAAHvf9NY=")</f>
        <v>#REF!</v>
      </c>
      <c r="HH50" t="e">
        <f>AND('Listado General'!#REF!,"AAAAAHvf9Nc=")</f>
        <v>#REF!</v>
      </c>
      <c r="HI50" t="e">
        <f>AND('Listado General'!#REF!,"AAAAAHvf9Ng=")</f>
        <v>#REF!</v>
      </c>
      <c r="HJ50" t="e">
        <f>AND('Listado General'!#REF!,"AAAAAHvf9Nk=")</f>
        <v>#REF!</v>
      </c>
      <c r="HK50" t="e">
        <f>AND('Listado General'!#REF!,"AAAAAHvf9No=")</f>
        <v>#REF!</v>
      </c>
      <c r="HL50" t="e">
        <f>AND('Listado General'!#REF!,"AAAAAHvf9Ns=")</f>
        <v>#REF!</v>
      </c>
      <c r="HM50" t="e">
        <f>AND('Listado General'!#REF!,"AAAAAHvf9Nw=")</f>
        <v>#REF!</v>
      </c>
      <c r="HN50" t="e">
        <f>IF('Listado General'!#REF!,"AAAAAHvf9N0=",0)</f>
        <v>#REF!</v>
      </c>
      <c r="HO50" t="e">
        <f>AND('Listado General'!#REF!,"AAAAAHvf9N4=")</f>
        <v>#REF!</v>
      </c>
      <c r="HP50" t="e">
        <f>AND('Listado General'!#REF!,"AAAAAHvf9N8=")</f>
        <v>#REF!</v>
      </c>
      <c r="HQ50" t="e">
        <f>AND('Listado General'!#REF!,"AAAAAHvf9OA=")</f>
        <v>#REF!</v>
      </c>
      <c r="HR50" t="e">
        <f>AND('Listado General'!#REF!,"AAAAAHvf9OE=")</f>
        <v>#REF!</v>
      </c>
      <c r="HS50" t="e">
        <f>AND('Listado General'!#REF!,"AAAAAHvf9OI=")</f>
        <v>#REF!</v>
      </c>
      <c r="HT50" t="e">
        <f>AND('Listado General'!#REF!,"AAAAAHvf9OM=")</f>
        <v>#REF!</v>
      </c>
      <c r="HU50" t="e">
        <f>AND('Listado General'!#REF!,"AAAAAHvf9OQ=")</f>
        <v>#REF!</v>
      </c>
      <c r="HV50" t="e">
        <f>AND('Listado General'!#REF!,"AAAAAHvf9OU=")</f>
        <v>#REF!</v>
      </c>
      <c r="HW50" t="e">
        <f>AND('Listado General'!#REF!,"AAAAAHvf9OY=")</f>
        <v>#REF!</v>
      </c>
      <c r="HX50" t="e">
        <f>IF('Listado General'!#REF!,"AAAAAHvf9Oc=",0)</f>
        <v>#REF!</v>
      </c>
      <c r="HY50" t="e">
        <f>AND('Listado General'!#REF!,"AAAAAHvf9Og=")</f>
        <v>#REF!</v>
      </c>
      <c r="HZ50" t="e">
        <f>AND('Listado General'!#REF!,"AAAAAHvf9Ok=")</f>
        <v>#REF!</v>
      </c>
      <c r="IA50" t="e">
        <f>AND('Listado General'!#REF!,"AAAAAHvf9Oo=")</f>
        <v>#REF!</v>
      </c>
      <c r="IB50" t="e">
        <f>AND('Listado General'!#REF!,"AAAAAHvf9Os=")</f>
        <v>#REF!</v>
      </c>
      <c r="IC50" t="e">
        <f>AND('Listado General'!#REF!,"AAAAAHvf9Ow=")</f>
        <v>#REF!</v>
      </c>
      <c r="ID50" t="e">
        <f>AND('Listado General'!#REF!,"AAAAAHvf9O0=")</f>
        <v>#REF!</v>
      </c>
      <c r="IE50" t="e">
        <f>AND('Listado General'!#REF!,"AAAAAHvf9O4=")</f>
        <v>#REF!</v>
      </c>
      <c r="IF50" t="e">
        <f>AND('Listado General'!#REF!,"AAAAAHvf9O8=")</f>
        <v>#REF!</v>
      </c>
      <c r="IG50" t="e">
        <f>AND('Listado General'!#REF!,"AAAAAHvf9PA=")</f>
        <v>#REF!</v>
      </c>
      <c r="IH50" t="e">
        <f>IF('Listado General'!#REF!,"AAAAAHvf9PE=",0)</f>
        <v>#REF!</v>
      </c>
      <c r="II50" t="e">
        <f>AND('Listado General'!#REF!,"AAAAAHvf9PI=")</f>
        <v>#REF!</v>
      </c>
      <c r="IJ50" t="e">
        <f>AND('Listado General'!#REF!,"AAAAAHvf9PM=")</f>
        <v>#REF!</v>
      </c>
      <c r="IK50" t="e">
        <f>AND('Listado General'!#REF!,"AAAAAHvf9PQ=")</f>
        <v>#REF!</v>
      </c>
      <c r="IL50" t="e">
        <f>AND('Listado General'!#REF!,"AAAAAHvf9PU=")</f>
        <v>#REF!</v>
      </c>
      <c r="IM50" t="e">
        <f>AND('Listado General'!#REF!,"AAAAAHvf9PY=")</f>
        <v>#REF!</v>
      </c>
      <c r="IN50" t="e">
        <f>AND('Listado General'!#REF!,"AAAAAHvf9Pc=")</f>
        <v>#REF!</v>
      </c>
      <c r="IO50" t="e">
        <f>AND('Listado General'!#REF!,"AAAAAHvf9Pg=")</f>
        <v>#REF!</v>
      </c>
      <c r="IP50" t="e">
        <f>AND('Listado General'!#REF!,"AAAAAHvf9Pk=")</f>
        <v>#REF!</v>
      </c>
      <c r="IQ50" t="e">
        <f>AND('Listado General'!#REF!,"AAAAAHvf9Po=")</f>
        <v>#REF!</v>
      </c>
      <c r="IR50" t="e">
        <f>IF('Listado General'!#REF!,"AAAAAHvf9Ps=",0)</f>
        <v>#REF!</v>
      </c>
      <c r="IS50" t="e">
        <f>AND('Listado General'!#REF!,"AAAAAHvf9Pw=")</f>
        <v>#REF!</v>
      </c>
      <c r="IT50" t="e">
        <f>AND('Listado General'!#REF!,"AAAAAHvf9P0=")</f>
        <v>#REF!</v>
      </c>
      <c r="IU50" t="e">
        <f>AND('Listado General'!#REF!,"AAAAAHvf9P4=")</f>
        <v>#REF!</v>
      </c>
      <c r="IV50" t="e">
        <f>AND('Listado General'!#REF!,"AAAAAHvf9P8=")</f>
        <v>#REF!</v>
      </c>
    </row>
    <row r="51" spans="1:256" ht="12.75">
      <c r="A51" t="e">
        <f>AND('Listado General'!#REF!,"AAAAAGvf7wA=")</f>
        <v>#REF!</v>
      </c>
      <c r="B51" t="e">
        <f>AND('Listado General'!#REF!,"AAAAAGvf7wE=")</f>
        <v>#REF!</v>
      </c>
      <c r="C51" t="e">
        <f>AND('Listado General'!#REF!,"AAAAAGvf7wI=")</f>
        <v>#REF!</v>
      </c>
      <c r="D51" t="e">
        <f>AND('Listado General'!#REF!,"AAAAAGvf7wM=")</f>
        <v>#REF!</v>
      </c>
      <c r="E51" t="e">
        <f>AND('Listado General'!#REF!,"AAAAAGvf7wQ=")</f>
        <v>#REF!</v>
      </c>
      <c r="F51" t="e">
        <f>IF('Listado General'!#REF!,"AAAAAGvf7wU=",0)</f>
        <v>#REF!</v>
      </c>
      <c r="G51" t="e">
        <f>AND('Listado General'!#REF!,"AAAAAGvf7wY=")</f>
        <v>#REF!</v>
      </c>
      <c r="H51" t="e">
        <f>AND('Listado General'!#REF!,"AAAAAGvf7wc=")</f>
        <v>#REF!</v>
      </c>
      <c r="I51" t="e">
        <f>AND('Listado General'!#REF!,"AAAAAGvf7wg=")</f>
        <v>#REF!</v>
      </c>
      <c r="J51" t="e">
        <f>AND('Listado General'!#REF!,"AAAAAGvf7wk=")</f>
        <v>#REF!</v>
      </c>
      <c r="K51" t="e">
        <f>AND('Listado General'!#REF!,"AAAAAGvf7wo=")</f>
        <v>#REF!</v>
      </c>
      <c r="L51" t="e">
        <f>AND('Listado General'!#REF!,"AAAAAGvf7ws=")</f>
        <v>#REF!</v>
      </c>
      <c r="M51" t="e">
        <f>AND('Listado General'!#REF!,"AAAAAGvf7ww=")</f>
        <v>#REF!</v>
      </c>
      <c r="N51" t="e">
        <f>AND('Listado General'!#REF!,"AAAAAGvf7w0=")</f>
        <v>#REF!</v>
      </c>
      <c r="O51" t="e">
        <f>AND('Listado General'!#REF!,"AAAAAGvf7w4=")</f>
        <v>#REF!</v>
      </c>
      <c r="P51" t="e">
        <f>IF('Listado General'!#REF!,"AAAAAGvf7w8=",0)</f>
        <v>#REF!</v>
      </c>
      <c r="Q51" t="e">
        <f>AND('Listado General'!#REF!,"AAAAAGvf7xA=")</f>
        <v>#REF!</v>
      </c>
      <c r="R51" t="e">
        <f>AND('Listado General'!#REF!,"AAAAAGvf7xE=")</f>
        <v>#REF!</v>
      </c>
      <c r="S51" t="e">
        <f>AND('Listado General'!#REF!,"AAAAAGvf7xI=")</f>
        <v>#REF!</v>
      </c>
      <c r="T51" t="e">
        <f>AND('Listado General'!#REF!,"AAAAAGvf7xM=")</f>
        <v>#REF!</v>
      </c>
      <c r="U51" t="e">
        <f>AND('Listado General'!#REF!,"AAAAAGvf7xQ=")</f>
        <v>#REF!</v>
      </c>
      <c r="V51" t="e">
        <f>AND('Listado General'!#REF!,"AAAAAGvf7xU=")</f>
        <v>#REF!</v>
      </c>
      <c r="W51" t="e">
        <f>AND('Listado General'!#REF!,"AAAAAGvf7xY=")</f>
        <v>#REF!</v>
      </c>
      <c r="X51" t="e">
        <f>AND('Listado General'!#REF!,"AAAAAGvf7xc=")</f>
        <v>#REF!</v>
      </c>
      <c r="Y51" t="e">
        <f>AND('Listado General'!#REF!,"AAAAAGvf7xg=")</f>
        <v>#REF!</v>
      </c>
      <c r="Z51" t="e">
        <f>IF('Listado General'!#REF!,"AAAAAGvf7xk=",0)</f>
        <v>#REF!</v>
      </c>
      <c r="AA51" t="e">
        <f>AND('Listado General'!#REF!,"AAAAAGvf7xo=")</f>
        <v>#REF!</v>
      </c>
      <c r="AB51" t="e">
        <f>AND('Listado General'!#REF!,"AAAAAGvf7xs=")</f>
        <v>#REF!</v>
      </c>
      <c r="AC51" t="e">
        <f>AND('Listado General'!#REF!,"AAAAAGvf7xw=")</f>
        <v>#REF!</v>
      </c>
      <c r="AD51" t="e">
        <f>AND('Listado General'!#REF!,"AAAAAGvf7x0=")</f>
        <v>#REF!</v>
      </c>
      <c r="AE51" t="e">
        <f>AND('Listado General'!#REF!,"AAAAAGvf7x4=")</f>
        <v>#REF!</v>
      </c>
      <c r="AF51" t="e">
        <f>AND('Listado General'!#REF!,"AAAAAGvf7x8=")</f>
        <v>#REF!</v>
      </c>
      <c r="AG51" t="e">
        <f>AND('Listado General'!#REF!,"AAAAAGvf7yA=")</f>
        <v>#REF!</v>
      </c>
      <c r="AH51" t="e">
        <f>AND('Listado General'!#REF!,"AAAAAGvf7yE=")</f>
        <v>#REF!</v>
      </c>
      <c r="AI51" t="e">
        <f>AND('Listado General'!#REF!,"AAAAAGvf7yI=")</f>
        <v>#REF!</v>
      </c>
      <c r="AJ51" t="e">
        <f>IF('Listado General'!#REF!,"AAAAAGvf7yM=",0)</f>
        <v>#REF!</v>
      </c>
      <c r="AK51" t="e">
        <f>AND('Listado General'!#REF!,"AAAAAGvf7yQ=")</f>
        <v>#REF!</v>
      </c>
      <c r="AL51" t="e">
        <f>AND('Listado General'!#REF!,"AAAAAGvf7yU=")</f>
        <v>#REF!</v>
      </c>
      <c r="AM51" t="e">
        <f>AND('Listado General'!#REF!,"AAAAAGvf7yY=")</f>
        <v>#REF!</v>
      </c>
      <c r="AN51" t="e">
        <f>AND('Listado General'!#REF!,"AAAAAGvf7yc=")</f>
        <v>#REF!</v>
      </c>
      <c r="AO51" t="e">
        <f>AND('Listado General'!#REF!,"AAAAAGvf7yg=")</f>
        <v>#REF!</v>
      </c>
      <c r="AP51" t="e">
        <f>AND('Listado General'!#REF!,"AAAAAGvf7yk=")</f>
        <v>#REF!</v>
      </c>
      <c r="AQ51" t="e">
        <f>AND('Listado General'!#REF!,"AAAAAGvf7yo=")</f>
        <v>#REF!</v>
      </c>
      <c r="AR51" t="e">
        <f>AND('Listado General'!#REF!,"AAAAAGvf7ys=")</f>
        <v>#REF!</v>
      </c>
      <c r="AS51" t="e">
        <f>AND('Listado General'!#REF!,"AAAAAGvf7yw=")</f>
        <v>#REF!</v>
      </c>
      <c r="AT51" t="e">
        <f>IF('Listado General'!#REF!,"AAAAAGvf7y0=",0)</f>
        <v>#REF!</v>
      </c>
      <c r="AU51" t="e">
        <f>AND('Listado General'!#REF!,"AAAAAGvf7y4=")</f>
        <v>#REF!</v>
      </c>
      <c r="AV51" t="e">
        <f>AND('Listado General'!#REF!,"AAAAAGvf7y8=")</f>
        <v>#REF!</v>
      </c>
      <c r="AW51" t="e">
        <f>AND('Listado General'!#REF!,"AAAAAGvf7zA=")</f>
        <v>#REF!</v>
      </c>
      <c r="AX51" t="e">
        <f>AND('Listado General'!#REF!,"AAAAAGvf7zE=")</f>
        <v>#REF!</v>
      </c>
      <c r="AY51" t="e">
        <f>AND('Listado General'!#REF!,"AAAAAGvf7zI=")</f>
        <v>#REF!</v>
      </c>
      <c r="AZ51" t="e">
        <f>AND('Listado General'!#REF!,"AAAAAGvf7zM=")</f>
        <v>#REF!</v>
      </c>
      <c r="BA51" t="e">
        <f>AND('Listado General'!#REF!,"AAAAAGvf7zQ=")</f>
        <v>#REF!</v>
      </c>
      <c r="BB51" t="e">
        <f>AND('Listado General'!#REF!,"AAAAAGvf7zU=")</f>
        <v>#REF!</v>
      </c>
      <c r="BC51" t="e">
        <f>AND('Listado General'!#REF!,"AAAAAGvf7zY=")</f>
        <v>#REF!</v>
      </c>
      <c r="BD51" t="e">
        <f>IF('Listado General'!#REF!,"AAAAAGvf7zc=",0)</f>
        <v>#REF!</v>
      </c>
      <c r="BE51" t="e">
        <f>AND('Listado General'!#REF!,"AAAAAGvf7zg=")</f>
        <v>#REF!</v>
      </c>
      <c r="BF51" t="e">
        <f>AND('Listado General'!#REF!,"AAAAAGvf7zk=")</f>
        <v>#REF!</v>
      </c>
      <c r="BG51" t="e">
        <f>AND('Listado General'!#REF!,"AAAAAGvf7zo=")</f>
        <v>#REF!</v>
      </c>
      <c r="BH51" t="e">
        <f>AND('Listado General'!#REF!,"AAAAAGvf7zs=")</f>
        <v>#REF!</v>
      </c>
      <c r="BI51" t="e">
        <f>AND('Listado General'!#REF!,"AAAAAGvf7zw=")</f>
        <v>#REF!</v>
      </c>
      <c r="BJ51" t="e">
        <f>AND('Listado General'!#REF!,"AAAAAGvf7z0=")</f>
        <v>#REF!</v>
      </c>
      <c r="BK51" t="e">
        <f>AND('Listado General'!#REF!,"AAAAAGvf7z4=")</f>
        <v>#REF!</v>
      </c>
      <c r="BL51" t="e">
        <f>AND('Listado General'!#REF!,"AAAAAGvf7z8=")</f>
        <v>#REF!</v>
      </c>
      <c r="BM51" t="e">
        <f>AND('Listado General'!#REF!,"AAAAAGvf70A=")</f>
        <v>#REF!</v>
      </c>
      <c r="BN51" t="e">
        <f>IF('Listado General'!#REF!,"AAAAAGvf70E=",0)</f>
        <v>#REF!</v>
      </c>
      <c r="BO51" t="e">
        <f>AND('Listado General'!#REF!,"AAAAAGvf70I=")</f>
        <v>#REF!</v>
      </c>
      <c r="BP51" t="e">
        <f>AND('Listado General'!#REF!,"AAAAAGvf70M=")</f>
        <v>#REF!</v>
      </c>
      <c r="BQ51" t="e">
        <f>AND('Listado General'!#REF!,"AAAAAGvf70Q=")</f>
        <v>#REF!</v>
      </c>
      <c r="BR51" t="e">
        <f>AND('Listado General'!#REF!,"AAAAAGvf70U=")</f>
        <v>#REF!</v>
      </c>
      <c r="BS51" t="e">
        <f>AND('Listado General'!#REF!,"AAAAAGvf70Y=")</f>
        <v>#REF!</v>
      </c>
      <c r="BT51" t="e">
        <f>AND('Listado General'!#REF!,"AAAAAGvf70c=")</f>
        <v>#REF!</v>
      </c>
      <c r="BU51" t="e">
        <f>AND('Listado General'!#REF!,"AAAAAGvf70g=")</f>
        <v>#REF!</v>
      </c>
      <c r="BV51" t="e">
        <f>AND('Listado General'!#REF!,"AAAAAGvf70k=")</f>
        <v>#REF!</v>
      </c>
      <c r="BW51" t="e">
        <f>AND('Listado General'!#REF!,"AAAAAGvf70o=")</f>
        <v>#REF!</v>
      </c>
      <c r="BX51" t="e">
        <f>IF('Listado General'!#REF!,"AAAAAGvf70s=",0)</f>
        <v>#REF!</v>
      </c>
      <c r="BY51" t="e">
        <f>AND('Listado General'!#REF!,"AAAAAGvf70w=")</f>
        <v>#REF!</v>
      </c>
      <c r="BZ51" t="e">
        <f>AND('Listado General'!#REF!,"AAAAAGvf700=")</f>
        <v>#REF!</v>
      </c>
      <c r="CA51" t="e">
        <f>AND('Listado General'!#REF!,"AAAAAGvf704=")</f>
        <v>#REF!</v>
      </c>
      <c r="CB51" t="e">
        <f>AND('Listado General'!#REF!,"AAAAAGvf708=")</f>
        <v>#REF!</v>
      </c>
      <c r="CC51" t="e">
        <f>AND('Listado General'!#REF!,"AAAAAGvf71A=")</f>
        <v>#REF!</v>
      </c>
      <c r="CD51" t="e">
        <f>AND('Listado General'!#REF!,"AAAAAGvf71E=")</f>
        <v>#REF!</v>
      </c>
      <c r="CE51" t="e">
        <f>AND('Listado General'!#REF!,"AAAAAGvf71I=")</f>
        <v>#REF!</v>
      </c>
      <c r="CF51" t="e">
        <f>AND('Listado General'!#REF!,"AAAAAGvf71M=")</f>
        <v>#REF!</v>
      </c>
      <c r="CG51" t="e">
        <f>AND('Listado General'!#REF!,"AAAAAGvf71Q=")</f>
        <v>#REF!</v>
      </c>
      <c r="CH51" t="e">
        <f>IF('Listado General'!#REF!,"AAAAAGvf71U=",0)</f>
        <v>#REF!</v>
      </c>
      <c r="CI51" t="e">
        <f>AND('Listado General'!#REF!,"AAAAAGvf71Y=")</f>
        <v>#REF!</v>
      </c>
      <c r="CJ51" t="e">
        <f>AND('Listado General'!#REF!,"AAAAAGvf71c=")</f>
        <v>#REF!</v>
      </c>
      <c r="CK51" t="e">
        <f>AND('Listado General'!#REF!,"AAAAAGvf71g=")</f>
        <v>#REF!</v>
      </c>
      <c r="CL51" t="e">
        <f>AND('Listado General'!#REF!,"AAAAAGvf71k=")</f>
        <v>#REF!</v>
      </c>
      <c r="CM51" t="e">
        <f>AND('Listado General'!#REF!,"AAAAAGvf71o=")</f>
        <v>#REF!</v>
      </c>
      <c r="CN51" t="e">
        <f>AND('Listado General'!#REF!,"AAAAAGvf71s=")</f>
        <v>#REF!</v>
      </c>
      <c r="CO51" t="e">
        <f>AND('Listado General'!#REF!,"AAAAAGvf71w=")</f>
        <v>#REF!</v>
      </c>
      <c r="CP51" t="e">
        <f>AND('Listado General'!#REF!,"AAAAAGvf710=")</f>
        <v>#REF!</v>
      </c>
      <c r="CQ51" t="e">
        <f>AND('Listado General'!#REF!,"AAAAAGvf714=")</f>
        <v>#REF!</v>
      </c>
      <c r="CR51" t="e">
        <f>IF('Listado General'!#REF!,"AAAAAGvf718=",0)</f>
        <v>#REF!</v>
      </c>
      <c r="CS51" t="e">
        <f>AND('Listado General'!#REF!,"AAAAAGvf72A=")</f>
        <v>#REF!</v>
      </c>
      <c r="CT51" t="e">
        <f>AND('Listado General'!#REF!,"AAAAAGvf72E=")</f>
        <v>#REF!</v>
      </c>
      <c r="CU51" t="e">
        <f>AND('Listado General'!#REF!,"AAAAAGvf72I=")</f>
        <v>#REF!</v>
      </c>
      <c r="CV51" t="e">
        <f>AND('Listado General'!#REF!,"AAAAAGvf72M=")</f>
        <v>#REF!</v>
      </c>
      <c r="CW51" t="e">
        <f>AND('Listado General'!#REF!,"AAAAAGvf72Q=")</f>
        <v>#REF!</v>
      </c>
      <c r="CX51" t="e">
        <f>AND('Listado General'!#REF!,"AAAAAGvf72U=")</f>
        <v>#REF!</v>
      </c>
      <c r="CY51" t="e">
        <f>AND('Listado General'!#REF!,"AAAAAGvf72Y=")</f>
        <v>#REF!</v>
      </c>
      <c r="CZ51" t="e">
        <f>AND('Listado General'!#REF!,"AAAAAGvf72c=")</f>
        <v>#REF!</v>
      </c>
      <c r="DA51" t="e">
        <f>AND('Listado General'!#REF!,"AAAAAGvf72g=")</f>
        <v>#REF!</v>
      </c>
      <c r="DB51" t="e">
        <f>IF('Listado General'!#REF!,"AAAAAGvf72k=",0)</f>
        <v>#REF!</v>
      </c>
      <c r="DC51" t="e">
        <f>AND('Listado General'!#REF!,"AAAAAGvf72o=")</f>
        <v>#REF!</v>
      </c>
      <c r="DD51" t="e">
        <f>AND('Listado General'!#REF!,"AAAAAGvf72s=")</f>
        <v>#REF!</v>
      </c>
      <c r="DE51" t="e">
        <f>AND('Listado General'!#REF!,"AAAAAGvf72w=")</f>
        <v>#REF!</v>
      </c>
      <c r="DF51" t="e">
        <f>AND('Listado General'!#REF!,"AAAAAGvf720=")</f>
        <v>#REF!</v>
      </c>
      <c r="DG51" t="e">
        <f>AND('Listado General'!#REF!,"AAAAAGvf724=")</f>
        <v>#REF!</v>
      </c>
      <c r="DH51" t="e">
        <f>AND('Listado General'!#REF!,"AAAAAGvf728=")</f>
        <v>#REF!</v>
      </c>
      <c r="DI51" t="e">
        <f>AND('Listado General'!#REF!,"AAAAAGvf73A=")</f>
        <v>#REF!</v>
      </c>
      <c r="DJ51" t="e">
        <f>AND('Listado General'!#REF!,"AAAAAGvf73E=")</f>
        <v>#REF!</v>
      </c>
      <c r="DK51" t="e">
        <f>AND('Listado General'!#REF!,"AAAAAGvf73I=")</f>
        <v>#REF!</v>
      </c>
      <c r="DL51" t="e">
        <f>IF('Listado General'!#REF!,"AAAAAGvf73M=",0)</f>
        <v>#REF!</v>
      </c>
      <c r="DM51" t="e">
        <f>AND('Listado General'!#REF!,"AAAAAGvf73Q=")</f>
        <v>#REF!</v>
      </c>
      <c r="DN51" t="e">
        <f>AND('Listado General'!#REF!,"AAAAAGvf73U=")</f>
        <v>#REF!</v>
      </c>
      <c r="DO51" t="e">
        <f>AND('Listado General'!#REF!,"AAAAAGvf73Y=")</f>
        <v>#REF!</v>
      </c>
      <c r="DP51" t="e">
        <f>AND('Listado General'!#REF!,"AAAAAGvf73c=")</f>
        <v>#REF!</v>
      </c>
      <c r="DQ51" t="e">
        <f>AND('Listado General'!#REF!,"AAAAAGvf73g=")</f>
        <v>#REF!</v>
      </c>
      <c r="DR51" t="e">
        <f>AND('Listado General'!#REF!,"AAAAAGvf73k=")</f>
        <v>#REF!</v>
      </c>
      <c r="DS51" t="e">
        <f>AND('Listado General'!#REF!,"AAAAAGvf73o=")</f>
        <v>#REF!</v>
      </c>
      <c r="DT51" t="e">
        <f>AND('Listado General'!#REF!,"AAAAAGvf73s=")</f>
        <v>#REF!</v>
      </c>
      <c r="DU51" t="e">
        <f>AND('Listado General'!#REF!,"AAAAAGvf73w=")</f>
        <v>#REF!</v>
      </c>
      <c r="DV51" t="e">
        <f>IF('Listado General'!#REF!,"AAAAAGvf730=",0)</f>
        <v>#REF!</v>
      </c>
      <c r="DW51" t="e">
        <f>AND('Listado General'!#REF!,"AAAAAGvf734=")</f>
        <v>#REF!</v>
      </c>
      <c r="DX51" t="e">
        <f>AND('Listado General'!#REF!,"AAAAAGvf738=")</f>
        <v>#REF!</v>
      </c>
      <c r="DY51" t="e">
        <f>AND('Listado General'!#REF!,"AAAAAGvf74A=")</f>
        <v>#REF!</v>
      </c>
      <c r="DZ51" t="e">
        <f>AND('Listado General'!#REF!,"AAAAAGvf74E=")</f>
        <v>#REF!</v>
      </c>
      <c r="EA51" t="e">
        <f>AND('Listado General'!#REF!,"AAAAAGvf74I=")</f>
        <v>#REF!</v>
      </c>
      <c r="EB51" t="e">
        <f>AND('Listado General'!#REF!,"AAAAAGvf74M=")</f>
        <v>#REF!</v>
      </c>
      <c r="EC51" t="e">
        <f>AND('Listado General'!#REF!,"AAAAAGvf74Q=")</f>
        <v>#REF!</v>
      </c>
      <c r="ED51" t="e">
        <f>AND('Listado General'!#REF!,"AAAAAGvf74U=")</f>
        <v>#REF!</v>
      </c>
      <c r="EE51" t="e">
        <f>AND('Listado General'!#REF!,"AAAAAGvf74Y=")</f>
        <v>#REF!</v>
      </c>
      <c r="EF51" t="e">
        <f>IF('Listado General'!#REF!,"AAAAAGvf74c=",0)</f>
        <v>#REF!</v>
      </c>
      <c r="EG51" t="e">
        <f>AND('Listado General'!#REF!,"AAAAAGvf74g=")</f>
        <v>#REF!</v>
      </c>
      <c r="EH51" t="e">
        <f>AND('Listado General'!#REF!,"AAAAAGvf74k=")</f>
        <v>#REF!</v>
      </c>
      <c r="EI51" t="e">
        <f>AND('Listado General'!#REF!,"AAAAAGvf74o=")</f>
        <v>#REF!</v>
      </c>
      <c r="EJ51" t="e">
        <f>AND('Listado General'!#REF!,"AAAAAGvf74s=")</f>
        <v>#REF!</v>
      </c>
      <c r="EK51" t="e">
        <f>AND('Listado General'!#REF!,"AAAAAGvf74w=")</f>
        <v>#REF!</v>
      </c>
      <c r="EL51" t="e">
        <f>AND('Listado General'!#REF!,"AAAAAGvf740=")</f>
        <v>#REF!</v>
      </c>
      <c r="EM51" t="e">
        <f>AND('Listado General'!#REF!,"AAAAAGvf744=")</f>
        <v>#REF!</v>
      </c>
      <c r="EN51" t="e">
        <f>AND('Listado General'!#REF!,"AAAAAGvf748=")</f>
        <v>#REF!</v>
      </c>
      <c r="EO51" t="e">
        <f>AND('Listado General'!#REF!,"AAAAAGvf75A=")</f>
        <v>#REF!</v>
      </c>
      <c r="EP51" t="e">
        <f>IF('Listado General'!#REF!,"AAAAAGvf75E=",0)</f>
        <v>#REF!</v>
      </c>
      <c r="EQ51" t="e">
        <f>AND('Listado General'!#REF!,"AAAAAGvf75I=")</f>
        <v>#REF!</v>
      </c>
      <c r="ER51" t="e">
        <f>AND('Listado General'!#REF!,"AAAAAGvf75M=")</f>
        <v>#REF!</v>
      </c>
      <c r="ES51" t="e">
        <f>AND('Listado General'!#REF!,"AAAAAGvf75Q=")</f>
        <v>#REF!</v>
      </c>
      <c r="ET51" t="e">
        <f>AND('Listado General'!#REF!,"AAAAAGvf75U=")</f>
        <v>#REF!</v>
      </c>
      <c r="EU51" t="e">
        <f>AND('Listado General'!#REF!,"AAAAAGvf75Y=")</f>
        <v>#REF!</v>
      </c>
      <c r="EV51" t="e">
        <f>AND('Listado General'!#REF!,"AAAAAGvf75c=")</f>
        <v>#REF!</v>
      </c>
      <c r="EW51" t="e">
        <f>AND('Listado General'!#REF!,"AAAAAGvf75g=")</f>
        <v>#REF!</v>
      </c>
      <c r="EX51" t="e">
        <f>AND('Listado General'!#REF!,"AAAAAGvf75k=")</f>
        <v>#REF!</v>
      </c>
      <c r="EY51" t="e">
        <f>AND('Listado General'!#REF!,"AAAAAGvf75o=")</f>
        <v>#REF!</v>
      </c>
      <c r="EZ51" t="e">
        <f>IF('Listado General'!#REF!,"AAAAAGvf75s=",0)</f>
        <v>#REF!</v>
      </c>
      <c r="FA51" t="e">
        <f>AND('Listado General'!#REF!,"AAAAAGvf75w=")</f>
        <v>#REF!</v>
      </c>
      <c r="FB51" t="e">
        <f>AND('Listado General'!#REF!,"AAAAAGvf750=")</f>
        <v>#REF!</v>
      </c>
      <c r="FC51" t="e">
        <f>AND('Listado General'!#REF!,"AAAAAGvf754=")</f>
        <v>#REF!</v>
      </c>
      <c r="FD51" t="e">
        <f>AND('Listado General'!#REF!,"AAAAAGvf758=")</f>
        <v>#REF!</v>
      </c>
      <c r="FE51" t="e">
        <f>AND('Listado General'!#REF!,"AAAAAGvf76A=")</f>
        <v>#REF!</v>
      </c>
      <c r="FF51" t="e">
        <f>AND('Listado General'!#REF!,"AAAAAGvf76E=")</f>
        <v>#REF!</v>
      </c>
      <c r="FG51" t="e">
        <f>AND('Listado General'!#REF!,"AAAAAGvf76I=")</f>
        <v>#REF!</v>
      </c>
      <c r="FH51" t="e">
        <f>AND('Listado General'!#REF!,"AAAAAGvf76M=")</f>
        <v>#REF!</v>
      </c>
      <c r="FI51" t="e">
        <f>AND('Listado General'!#REF!,"AAAAAGvf76Q=")</f>
        <v>#REF!</v>
      </c>
      <c r="FJ51" t="e">
        <f>IF('Listado General'!#REF!,"AAAAAGvf76U=",0)</f>
        <v>#REF!</v>
      </c>
      <c r="FK51" t="e">
        <f>AND('Listado General'!#REF!,"AAAAAGvf76Y=")</f>
        <v>#REF!</v>
      </c>
      <c r="FL51" t="e">
        <f>AND('Listado General'!#REF!,"AAAAAGvf76c=")</f>
        <v>#REF!</v>
      </c>
      <c r="FM51" t="e">
        <f>AND('Listado General'!#REF!,"AAAAAGvf76g=")</f>
        <v>#REF!</v>
      </c>
      <c r="FN51" t="e">
        <f>AND('Listado General'!#REF!,"AAAAAGvf76k=")</f>
        <v>#REF!</v>
      </c>
      <c r="FO51" t="e">
        <f>AND('Listado General'!#REF!,"AAAAAGvf76o=")</f>
        <v>#REF!</v>
      </c>
      <c r="FP51" t="e">
        <f>AND('Listado General'!#REF!,"AAAAAGvf76s=")</f>
        <v>#REF!</v>
      </c>
      <c r="FQ51" t="e">
        <f>AND('Listado General'!#REF!,"AAAAAGvf76w=")</f>
        <v>#REF!</v>
      </c>
      <c r="FR51" t="e">
        <f>AND('Listado General'!#REF!,"AAAAAGvf760=")</f>
        <v>#REF!</v>
      </c>
      <c r="FS51" t="e">
        <f>AND('Listado General'!#REF!,"AAAAAGvf764=")</f>
        <v>#REF!</v>
      </c>
      <c r="FT51" t="e">
        <f>IF('Listado General'!#REF!,"AAAAAGvf768=",0)</f>
        <v>#REF!</v>
      </c>
      <c r="FU51" t="e">
        <f>AND('Listado General'!#REF!,"AAAAAGvf77A=")</f>
        <v>#REF!</v>
      </c>
      <c r="FV51" t="e">
        <f>AND('Listado General'!#REF!,"AAAAAGvf77E=")</f>
        <v>#REF!</v>
      </c>
      <c r="FW51" t="e">
        <f>AND('Listado General'!#REF!,"AAAAAGvf77I=")</f>
        <v>#REF!</v>
      </c>
      <c r="FX51" t="e">
        <f>AND('Listado General'!#REF!,"AAAAAGvf77M=")</f>
        <v>#REF!</v>
      </c>
      <c r="FY51" t="e">
        <f>AND('Listado General'!#REF!,"AAAAAGvf77Q=")</f>
        <v>#REF!</v>
      </c>
      <c r="FZ51" t="e">
        <f>AND('Listado General'!#REF!,"AAAAAGvf77U=")</f>
        <v>#REF!</v>
      </c>
      <c r="GA51" t="e">
        <f>AND('Listado General'!#REF!,"AAAAAGvf77Y=")</f>
        <v>#REF!</v>
      </c>
      <c r="GB51" t="e">
        <f>AND('Listado General'!#REF!,"AAAAAGvf77c=")</f>
        <v>#REF!</v>
      </c>
      <c r="GC51" t="e">
        <f>AND('Listado General'!#REF!,"AAAAAGvf77g=")</f>
        <v>#REF!</v>
      </c>
      <c r="GD51" t="e">
        <f>IF('Listado General'!#REF!,"AAAAAGvf77k=",0)</f>
        <v>#REF!</v>
      </c>
      <c r="GE51" t="e">
        <f>AND('Listado General'!#REF!,"AAAAAGvf77o=")</f>
        <v>#REF!</v>
      </c>
      <c r="GF51" t="e">
        <f>AND('Listado General'!#REF!,"AAAAAGvf77s=")</f>
        <v>#REF!</v>
      </c>
      <c r="GG51" t="e">
        <f>AND('Listado General'!#REF!,"AAAAAGvf77w=")</f>
        <v>#REF!</v>
      </c>
      <c r="GH51" t="e">
        <f>AND('Listado General'!#REF!,"AAAAAGvf770=")</f>
        <v>#REF!</v>
      </c>
      <c r="GI51" t="e">
        <f>AND('Listado General'!#REF!,"AAAAAGvf774=")</f>
        <v>#REF!</v>
      </c>
      <c r="GJ51" t="e">
        <f>AND('Listado General'!#REF!,"AAAAAGvf778=")</f>
        <v>#REF!</v>
      </c>
      <c r="GK51" t="e">
        <f>AND('Listado General'!#REF!,"AAAAAGvf78A=")</f>
        <v>#REF!</v>
      </c>
      <c r="GL51" t="e">
        <f>AND('Listado General'!#REF!,"AAAAAGvf78E=")</f>
        <v>#REF!</v>
      </c>
      <c r="GM51" t="e">
        <f>AND('Listado General'!#REF!,"AAAAAGvf78I=")</f>
        <v>#REF!</v>
      </c>
      <c r="GN51" t="e">
        <f>IF('Listado General'!#REF!,"AAAAAGvf78M=",0)</f>
        <v>#REF!</v>
      </c>
      <c r="GO51" t="e">
        <f>AND('Listado General'!#REF!,"AAAAAGvf78Q=")</f>
        <v>#REF!</v>
      </c>
      <c r="GP51" t="e">
        <f>AND('Listado General'!#REF!,"AAAAAGvf78U=")</f>
        <v>#REF!</v>
      </c>
      <c r="GQ51" t="e">
        <f>AND('Listado General'!#REF!,"AAAAAGvf78Y=")</f>
        <v>#REF!</v>
      </c>
      <c r="GR51" t="e">
        <f>AND('Listado General'!#REF!,"AAAAAGvf78c=")</f>
        <v>#REF!</v>
      </c>
      <c r="GS51" t="e">
        <f>AND('Listado General'!#REF!,"AAAAAGvf78g=")</f>
        <v>#REF!</v>
      </c>
      <c r="GT51" t="e">
        <f>AND('Listado General'!#REF!,"AAAAAGvf78k=")</f>
        <v>#REF!</v>
      </c>
      <c r="GU51" t="e">
        <f>AND('Listado General'!#REF!,"AAAAAGvf78o=")</f>
        <v>#REF!</v>
      </c>
      <c r="GV51" t="e">
        <f>AND('Listado General'!#REF!,"AAAAAGvf78s=")</f>
        <v>#REF!</v>
      </c>
      <c r="GW51" t="e">
        <f>AND('Listado General'!#REF!,"AAAAAGvf78w=")</f>
        <v>#REF!</v>
      </c>
      <c r="GX51" t="e">
        <f>IF('Listado General'!#REF!,"AAAAAGvf780=",0)</f>
        <v>#REF!</v>
      </c>
      <c r="GY51" t="e">
        <f>AND('Listado General'!#REF!,"AAAAAGvf784=")</f>
        <v>#REF!</v>
      </c>
      <c r="GZ51" t="e">
        <f>AND('Listado General'!#REF!,"AAAAAGvf788=")</f>
        <v>#REF!</v>
      </c>
      <c r="HA51" t="e">
        <f>AND('Listado General'!#REF!,"AAAAAGvf79A=")</f>
        <v>#REF!</v>
      </c>
      <c r="HB51" t="e">
        <f>AND('Listado General'!#REF!,"AAAAAGvf79E=")</f>
        <v>#REF!</v>
      </c>
      <c r="HC51" t="e">
        <f>AND('Listado General'!#REF!,"AAAAAGvf79I=")</f>
        <v>#REF!</v>
      </c>
      <c r="HD51" t="e">
        <f>AND('Listado General'!#REF!,"AAAAAGvf79M=")</f>
        <v>#REF!</v>
      </c>
      <c r="HE51" t="e">
        <f>AND('Listado General'!#REF!,"AAAAAGvf79Q=")</f>
        <v>#REF!</v>
      </c>
      <c r="HF51" t="e">
        <f>AND('Listado General'!#REF!,"AAAAAGvf79U=")</f>
        <v>#REF!</v>
      </c>
      <c r="HG51" t="e">
        <f>AND('Listado General'!#REF!,"AAAAAGvf79Y=")</f>
        <v>#REF!</v>
      </c>
      <c r="HH51" t="e">
        <f>IF('Listado General'!#REF!,"AAAAAGvf79c=",0)</f>
        <v>#REF!</v>
      </c>
      <c r="HI51" t="e">
        <f>AND('Listado General'!#REF!,"AAAAAGvf79g=")</f>
        <v>#REF!</v>
      </c>
      <c r="HJ51" t="e">
        <f>AND('Listado General'!#REF!,"AAAAAGvf79k=")</f>
        <v>#REF!</v>
      </c>
      <c r="HK51" t="e">
        <f>AND('Listado General'!#REF!,"AAAAAGvf79o=")</f>
        <v>#REF!</v>
      </c>
      <c r="HL51" t="e">
        <f>AND('Listado General'!#REF!,"AAAAAGvf79s=")</f>
        <v>#REF!</v>
      </c>
      <c r="HM51" t="e">
        <f>AND('Listado General'!#REF!,"AAAAAGvf79w=")</f>
        <v>#REF!</v>
      </c>
      <c r="HN51" t="e">
        <f>AND('Listado General'!#REF!,"AAAAAGvf790=")</f>
        <v>#REF!</v>
      </c>
      <c r="HO51" t="e">
        <f>AND('Listado General'!#REF!,"AAAAAGvf794=")</f>
        <v>#REF!</v>
      </c>
      <c r="HP51" t="e">
        <f>AND('Listado General'!#REF!,"AAAAAGvf798=")</f>
        <v>#REF!</v>
      </c>
      <c r="HQ51" t="e">
        <f>AND('Listado General'!#REF!,"AAAAAGvf7+A=")</f>
        <v>#REF!</v>
      </c>
      <c r="HR51" t="e">
        <f>IF('Listado General'!#REF!,"AAAAAGvf7+E=",0)</f>
        <v>#REF!</v>
      </c>
      <c r="HS51" t="e">
        <f>AND('Listado General'!#REF!,"AAAAAGvf7+I=")</f>
        <v>#REF!</v>
      </c>
      <c r="HT51" t="e">
        <f>AND('Listado General'!#REF!,"AAAAAGvf7+M=")</f>
        <v>#REF!</v>
      </c>
      <c r="HU51" t="e">
        <f>AND('Listado General'!#REF!,"AAAAAGvf7+Q=")</f>
        <v>#REF!</v>
      </c>
      <c r="HV51" t="e">
        <f>AND('Listado General'!#REF!,"AAAAAGvf7+U=")</f>
        <v>#REF!</v>
      </c>
      <c r="HW51" t="e">
        <f>AND('Listado General'!#REF!,"AAAAAGvf7+Y=")</f>
        <v>#REF!</v>
      </c>
      <c r="HX51" t="e">
        <f>AND('Listado General'!#REF!,"AAAAAGvf7+c=")</f>
        <v>#REF!</v>
      </c>
      <c r="HY51" t="e">
        <f>AND('Listado General'!#REF!,"AAAAAGvf7+g=")</f>
        <v>#REF!</v>
      </c>
      <c r="HZ51" t="e">
        <f>AND('Listado General'!#REF!,"AAAAAGvf7+k=")</f>
        <v>#REF!</v>
      </c>
      <c r="IA51" t="e">
        <f>AND('Listado General'!#REF!,"AAAAAGvf7+o=")</f>
        <v>#REF!</v>
      </c>
      <c r="IB51" t="e">
        <f>IF('Listado General'!#REF!,"AAAAAGvf7+s=",0)</f>
        <v>#REF!</v>
      </c>
      <c r="IC51" t="e">
        <f>AND('Listado General'!#REF!,"AAAAAGvf7+w=")</f>
        <v>#REF!</v>
      </c>
      <c r="ID51" t="e">
        <f>AND('Listado General'!#REF!,"AAAAAGvf7+0=")</f>
        <v>#REF!</v>
      </c>
      <c r="IE51" t="e">
        <f>AND('Listado General'!#REF!,"AAAAAGvf7+4=")</f>
        <v>#REF!</v>
      </c>
      <c r="IF51" t="e">
        <f>AND('Listado General'!#REF!,"AAAAAGvf7+8=")</f>
        <v>#REF!</v>
      </c>
      <c r="IG51" t="e">
        <f>AND('Listado General'!#REF!,"AAAAAGvf7/A=")</f>
        <v>#REF!</v>
      </c>
      <c r="IH51" t="e">
        <f>AND('Listado General'!#REF!,"AAAAAGvf7/E=")</f>
        <v>#REF!</v>
      </c>
      <c r="II51" t="e">
        <f>AND('Listado General'!#REF!,"AAAAAGvf7/I=")</f>
        <v>#REF!</v>
      </c>
      <c r="IJ51" t="e">
        <f>AND('Listado General'!#REF!,"AAAAAGvf7/M=")</f>
        <v>#REF!</v>
      </c>
      <c r="IK51" t="e">
        <f>AND('Listado General'!#REF!,"AAAAAGvf7/Q=")</f>
        <v>#REF!</v>
      </c>
      <c r="IL51" t="e">
        <f>IF('Listado General'!#REF!,"AAAAAGvf7/U=",0)</f>
        <v>#REF!</v>
      </c>
      <c r="IM51" t="e">
        <f>AND('Listado General'!#REF!,"AAAAAGvf7/Y=")</f>
        <v>#REF!</v>
      </c>
      <c r="IN51" t="e">
        <f>AND('Listado General'!#REF!,"AAAAAGvf7/c=")</f>
        <v>#REF!</v>
      </c>
      <c r="IO51" t="e">
        <f>AND('Listado General'!#REF!,"AAAAAGvf7/g=")</f>
        <v>#REF!</v>
      </c>
      <c r="IP51" t="e">
        <f>AND('Listado General'!#REF!,"AAAAAGvf7/k=")</f>
        <v>#REF!</v>
      </c>
      <c r="IQ51" t="e">
        <f>AND('Listado General'!#REF!,"AAAAAGvf7/o=")</f>
        <v>#REF!</v>
      </c>
      <c r="IR51" t="e">
        <f>AND('Listado General'!#REF!,"AAAAAGvf7/s=")</f>
        <v>#REF!</v>
      </c>
      <c r="IS51" t="e">
        <f>AND('Listado General'!#REF!,"AAAAAGvf7/w=")</f>
        <v>#REF!</v>
      </c>
      <c r="IT51" t="e">
        <f>AND('Listado General'!#REF!,"AAAAAGvf7/0=")</f>
        <v>#REF!</v>
      </c>
      <c r="IU51" t="e">
        <f>AND('Listado General'!#REF!,"AAAAAGvf7/4=")</f>
        <v>#REF!</v>
      </c>
      <c r="IV51" t="e">
        <f>IF('Listado General'!#REF!,"AAAAAGvf7/8=",0)</f>
        <v>#REF!</v>
      </c>
    </row>
    <row r="52" spans="1:256" ht="12.75">
      <c r="A52" t="e">
        <f>AND('Listado General'!#REF!,"AAAAAF/XbwA=")</f>
        <v>#REF!</v>
      </c>
      <c r="B52" t="e">
        <f>AND('Listado General'!#REF!,"AAAAAF/XbwE=")</f>
        <v>#REF!</v>
      </c>
      <c r="C52" t="e">
        <f>AND('Listado General'!#REF!,"AAAAAF/XbwI=")</f>
        <v>#REF!</v>
      </c>
      <c r="D52" t="e">
        <f>AND('Listado General'!#REF!,"AAAAAF/XbwM=")</f>
        <v>#REF!</v>
      </c>
      <c r="E52" t="e">
        <f>AND('Listado General'!#REF!,"AAAAAF/XbwQ=")</f>
        <v>#REF!</v>
      </c>
      <c r="F52" t="e">
        <f>AND('Listado General'!#REF!,"AAAAAF/XbwU=")</f>
        <v>#REF!</v>
      </c>
      <c r="G52" t="e">
        <f>AND('Listado General'!#REF!,"AAAAAF/XbwY=")</f>
        <v>#REF!</v>
      </c>
      <c r="H52" t="e">
        <f>AND('Listado General'!#REF!,"AAAAAF/Xbwc=")</f>
        <v>#REF!</v>
      </c>
      <c r="I52" t="e">
        <f>AND('Listado General'!#REF!,"AAAAAF/Xbwg=")</f>
        <v>#REF!</v>
      </c>
      <c r="J52" t="e">
        <f>IF('Listado General'!#REF!,"AAAAAF/Xbwk=",0)</f>
        <v>#REF!</v>
      </c>
      <c r="K52" t="e">
        <f>AND('Listado General'!#REF!,"AAAAAF/Xbwo=")</f>
        <v>#REF!</v>
      </c>
      <c r="L52" t="e">
        <f>AND('Listado General'!#REF!,"AAAAAF/Xbws=")</f>
        <v>#REF!</v>
      </c>
      <c r="M52" t="e">
        <f>AND('Listado General'!#REF!,"AAAAAF/Xbww=")</f>
        <v>#REF!</v>
      </c>
      <c r="N52" t="e">
        <f>AND('Listado General'!#REF!,"AAAAAF/Xbw0=")</f>
        <v>#REF!</v>
      </c>
      <c r="O52" t="e">
        <f>AND('Listado General'!#REF!,"AAAAAF/Xbw4=")</f>
        <v>#REF!</v>
      </c>
      <c r="P52" t="e">
        <f>AND('Listado General'!#REF!,"AAAAAF/Xbw8=")</f>
        <v>#REF!</v>
      </c>
      <c r="Q52" t="e">
        <f>AND('Listado General'!#REF!,"AAAAAF/XbxA=")</f>
        <v>#REF!</v>
      </c>
      <c r="R52" t="e">
        <f>AND('Listado General'!#REF!,"AAAAAF/XbxE=")</f>
        <v>#REF!</v>
      </c>
      <c r="S52" t="e">
        <f>AND('Listado General'!#REF!,"AAAAAF/XbxI=")</f>
        <v>#REF!</v>
      </c>
      <c r="T52" t="e">
        <f>IF('Listado General'!#REF!,"AAAAAF/XbxM=",0)</f>
        <v>#REF!</v>
      </c>
      <c r="U52" t="e">
        <f>AND('Listado General'!#REF!,"AAAAAF/XbxQ=")</f>
        <v>#REF!</v>
      </c>
      <c r="V52" t="e">
        <f>AND('Listado General'!#REF!,"AAAAAF/XbxU=")</f>
        <v>#REF!</v>
      </c>
      <c r="W52" t="e">
        <f>AND('Listado General'!#REF!,"AAAAAF/XbxY=")</f>
        <v>#REF!</v>
      </c>
      <c r="X52" t="e">
        <f>AND('Listado General'!#REF!,"AAAAAF/Xbxc=")</f>
        <v>#REF!</v>
      </c>
      <c r="Y52" t="e">
        <f>AND('Listado General'!#REF!,"AAAAAF/Xbxg=")</f>
        <v>#REF!</v>
      </c>
      <c r="Z52" t="e">
        <f>AND('Listado General'!#REF!,"AAAAAF/Xbxk=")</f>
        <v>#REF!</v>
      </c>
      <c r="AA52" t="e">
        <f>AND('Listado General'!#REF!,"AAAAAF/Xbxo=")</f>
        <v>#REF!</v>
      </c>
      <c r="AB52" t="e">
        <f>AND('Listado General'!#REF!,"AAAAAF/Xbxs=")</f>
        <v>#REF!</v>
      </c>
      <c r="AC52" t="e">
        <f>AND('Listado General'!#REF!,"AAAAAF/Xbxw=")</f>
        <v>#REF!</v>
      </c>
      <c r="AD52" t="e">
        <f>IF('Listado General'!#REF!,"AAAAAF/Xbx0=",0)</f>
        <v>#REF!</v>
      </c>
      <c r="AE52" t="e">
        <f>AND('Listado General'!#REF!,"AAAAAF/Xbx4=")</f>
        <v>#REF!</v>
      </c>
      <c r="AF52" t="e">
        <f>AND('Listado General'!#REF!,"AAAAAF/Xbx8=")</f>
        <v>#REF!</v>
      </c>
      <c r="AG52" t="e">
        <f>AND('Listado General'!#REF!,"AAAAAF/XbyA=")</f>
        <v>#REF!</v>
      </c>
      <c r="AH52" t="e">
        <f>AND('Listado General'!#REF!,"AAAAAF/XbyE=")</f>
        <v>#REF!</v>
      </c>
      <c r="AI52" t="e">
        <f>AND('Listado General'!#REF!,"AAAAAF/XbyI=")</f>
        <v>#REF!</v>
      </c>
      <c r="AJ52" t="e">
        <f>AND('Listado General'!#REF!,"AAAAAF/XbyM=")</f>
        <v>#REF!</v>
      </c>
      <c r="AK52" t="e">
        <f>AND('Listado General'!#REF!,"AAAAAF/XbyQ=")</f>
        <v>#REF!</v>
      </c>
      <c r="AL52" t="e">
        <f>AND('Listado General'!#REF!,"AAAAAF/XbyU=")</f>
        <v>#REF!</v>
      </c>
      <c r="AM52" t="e">
        <f>AND('Listado General'!#REF!,"AAAAAF/XbyY=")</f>
        <v>#REF!</v>
      </c>
      <c r="AN52" t="e">
        <f>IF('Listado General'!#REF!,"AAAAAF/Xbyc=",0)</f>
        <v>#REF!</v>
      </c>
      <c r="AO52" t="e">
        <f>AND('Listado General'!#REF!,"AAAAAF/Xbyg=")</f>
        <v>#REF!</v>
      </c>
      <c r="AP52" t="e">
        <f>AND('Listado General'!#REF!,"AAAAAF/Xbyk=")</f>
        <v>#REF!</v>
      </c>
      <c r="AQ52" t="e">
        <f>AND('Listado General'!#REF!,"AAAAAF/Xbyo=")</f>
        <v>#REF!</v>
      </c>
      <c r="AR52" t="e">
        <f>AND('Listado General'!#REF!,"AAAAAF/Xbys=")</f>
        <v>#REF!</v>
      </c>
      <c r="AS52" t="e">
        <f>AND('Listado General'!#REF!,"AAAAAF/Xbyw=")</f>
        <v>#REF!</v>
      </c>
      <c r="AT52" t="e">
        <f>AND('Listado General'!#REF!,"AAAAAF/Xby0=")</f>
        <v>#REF!</v>
      </c>
      <c r="AU52" t="e">
        <f>AND('Listado General'!#REF!,"AAAAAF/Xby4=")</f>
        <v>#REF!</v>
      </c>
      <c r="AV52" t="e">
        <f>AND('Listado General'!#REF!,"AAAAAF/Xby8=")</f>
        <v>#REF!</v>
      </c>
      <c r="AW52" t="e">
        <f>AND('Listado General'!#REF!,"AAAAAF/XbzA=")</f>
        <v>#REF!</v>
      </c>
      <c r="AX52" t="e">
        <f>IF('Listado General'!#REF!,"AAAAAF/XbzE=",0)</f>
        <v>#REF!</v>
      </c>
      <c r="AY52" t="e">
        <f>AND('Listado General'!#REF!,"AAAAAF/XbzI=")</f>
        <v>#REF!</v>
      </c>
      <c r="AZ52" t="e">
        <f>AND('Listado General'!#REF!,"AAAAAF/XbzM=")</f>
        <v>#REF!</v>
      </c>
      <c r="BA52" t="e">
        <f>AND('Listado General'!#REF!,"AAAAAF/XbzQ=")</f>
        <v>#REF!</v>
      </c>
      <c r="BB52" t="e">
        <f>AND('Listado General'!#REF!,"AAAAAF/XbzU=")</f>
        <v>#REF!</v>
      </c>
      <c r="BC52" t="e">
        <f>AND('Listado General'!#REF!,"AAAAAF/XbzY=")</f>
        <v>#REF!</v>
      </c>
      <c r="BD52" t="e">
        <f>AND('Listado General'!#REF!,"AAAAAF/Xbzc=")</f>
        <v>#REF!</v>
      </c>
      <c r="BE52" t="e">
        <f>AND('Listado General'!#REF!,"AAAAAF/Xbzg=")</f>
        <v>#REF!</v>
      </c>
      <c r="BF52" t="e">
        <f>AND('Listado General'!#REF!,"AAAAAF/Xbzk=")</f>
        <v>#REF!</v>
      </c>
      <c r="BG52" t="e">
        <f>AND('Listado General'!#REF!,"AAAAAF/Xbzo=")</f>
        <v>#REF!</v>
      </c>
      <c r="BH52" t="e">
        <f>IF('Listado General'!#REF!,"AAAAAF/Xbzs=",0)</f>
        <v>#REF!</v>
      </c>
      <c r="BI52" t="e">
        <f>AND('Listado General'!#REF!,"AAAAAF/Xbzw=")</f>
        <v>#REF!</v>
      </c>
      <c r="BJ52" t="e">
        <f>AND('Listado General'!#REF!,"AAAAAF/Xbz0=")</f>
        <v>#REF!</v>
      </c>
      <c r="BK52" t="e">
        <f>AND('Listado General'!#REF!,"AAAAAF/Xbz4=")</f>
        <v>#REF!</v>
      </c>
      <c r="BL52" t="e">
        <f>AND('Listado General'!#REF!,"AAAAAF/Xbz8=")</f>
        <v>#REF!</v>
      </c>
      <c r="BM52" t="e">
        <f>AND('Listado General'!#REF!,"AAAAAF/Xb0A=")</f>
        <v>#REF!</v>
      </c>
      <c r="BN52" t="e">
        <f>AND('Listado General'!#REF!,"AAAAAF/Xb0E=")</f>
        <v>#REF!</v>
      </c>
      <c r="BO52" t="e">
        <f>AND('Listado General'!#REF!,"AAAAAF/Xb0I=")</f>
        <v>#REF!</v>
      </c>
      <c r="BP52" t="e">
        <f>AND('Listado General'!#REF!,"AAAAAF/Xb0M=")</f>
        <v>#REF!</v>
      </c>
      <c r="BQ52" t="e">
        <f>AND('Listado General'!#REF!,"AAAAAF/Xb0Q=")</f>
        <v>#REF!</v>
      </c>
      <c r="BR52" t="e">
        <f>IF('Listado General'!#REF!,"AAAAAF/Xb0U=",0)</f>
        <v>#REF!</v>
      </c>
      <c r="BS52" t="e">
        <f>AND('Listado General'!#REF!,"AAAAAF/Xb0Y=")</f>
        <v>#REF!</v>
      </c>
      <c r="BT52" t="e">
        <f>AND('Listado General'!#REF!,"AAAAAF/Xb0c=")</f>
        <v>#REF!</v>
      </c>
      <c r="BU52" t="e">
        <f>AND('Listado General'!#REF!,"AAAAAF/Xb0g=")</f>
        <v>#REF!</v>
      </c>
      <c r="BV52" t="e">
        <f>AND('Listado General'!#REF!,"AAAAAF/Xb0k=")</f>
        <v>#REF!</v>
      </c>
      <c r="BW52" t="e">
        <f>AND('Listado General'!#REF!,"AAAAAF/Xb0o=")</f>
        <v>#REF!</v>
      </c>
      <c r="BX52" t="e">
        <f>AND('Listado General'!#REF!,"AAAAAF/Xb0s=")</f>
        <v>#REF!</v>
      </c>
      <c r="BY52" t="e">
        <f>AND('Listado General'!#REF!,"AAAAAF/Xb0w=")</f>
        <v>#REF!</v>
      </c>
      <c r="BZ52" t="e">
        <f>AND('Listado General'!#REF!,"AAAAAF/Xb00=")</f>
        <v>#REF!</v>
      </c>
      <c r="CA52" t="e">
        <f>AND('Listado General'!#REF!,"AAAAAF/Xb04=")</f>
        <v>#REF!</v>
      </c>
      <c r="CB52" t="e">
        <f>IF('Listado General'!#REF!,"AAAAAF/Xb08=",0)</f>
        <v>#REF!</v>
      </c>
      <c r="CC52" t="e">
        <f>AND('Listado General'!#REF!,"AAAAAF/Xb1A=")</f>
        <v>#REF!</v>
      </c>
      <c r="CD52" t="e">
        <f>AND('Listado General'!#REF!,"AAAAAF/Xb1E=")</f>
        <v>#REF!</v>
      </c>
      <c r="CE52" t="e">
        <f>AND('Listado General'!#REF!,"AAAAAF/Xb1I=")</f>
        <v>#REF!</v>
      </c>
      <c r="CF52" t="e">
        <f>AND('Listado General'!#REF!,"AAAAAF/Xb1M=")</f>
        <v>#REF!</v>
      </c>
      <c r="CG52" t="e">
        <f>AND('Listado General'!#REF!,"AAAAAF/Xb1Q=")</f>
        <v>#REF!</v>
      </c>
      <c r="CH52" t="e">
        <f>AND('Listado General'!#REF!,"AAAAAF/Xb1U=")</f>
        <v>#REF!</v>
      </c>
      <c r="CI52" t="e">
        <f>AND('Listado General'!#REF!,"AAAAAF/Xb1Y=")</f>
        <v>#REF!</v>
      </c>
      <c r="CJ52" t="e">
        <f>AND('Listado General'!#REF!,"AAAAAF/Xb1c=")</f>
        <v>#REF!</v>
      </c>
      <c r="CK52" t="e">
        <f>AND('Listado General'!#REF!,"AAAAAF/Xb1g=")</f>
        <v>#REF!</v>
      </c>
      <c r="CL52" t="e">
        <f>IF('Listado General'!#REF!,"AAAAAF/Xb1k=",0)</f>
        <v>#REF!</v>
      </c>
      <c r="CM52" t="e">
        <f>AND('Listado General'!#REF!,"AAAAAF/Xb1o=")</f>
        <v>#REF!</v>
      </c>
      <c r="CN52" t="e">
        <f>AND('Listado General'!#REF!,"AAAAAF/Xb1s=")</f>
        <v>#REF!</v>
      </c>
      <c r="CO52" t="e">
        <f>AND('Listado General'!#REF!,"AAAAAF/Xb1w=")</f>
        <v>#REF!</v>
      </c>
      <c r="CP52" t="e">
        <f>AND('Listado General'!#REF!,"AAAAAF/Xb10=")</f>
        <v>#REF!</v>
      </c>
      <c r="CQ52" t="e">
        <f>AND('Listado General'!#REF!,"AAAAAF/Xb14=")</f>
        <v>#REF!</v>
      </c>
      <c r="CR52" t="e">
        <f>AND('Listado General'!#REF!,"AAAAAF/Xb18=")</f>
        <v>#REF!</v>
      </c>
      <c r="CS52" t="e">
        <f>AND('Listado General'!#REF!,"AAAAAF/Xb2A=")</f>
        <v>#REF!</v>
      </c>
      <c r="CT52" t="e">
        <f>AND('Listado General'!#REF!,"AAAAAF/Xb2E=")</f>
        <v>#REF!</v>
      </c>
      <c r="CU52" t="e">
        <f>AND('Listado General'!#REF!,"AAAAAF/Xb2I=")</f>
        <v>#REF!</v>
      </c>
      <c r="CV52" t="e">
        <f>IF('Listado General'!#REF!,"AAAAAF/Xb2M=",0)</f>
        <v>#REF!</v>
      </c>
      <c r="CW52" t="e">
        <f>AND('Listado General'!#REF!,"AAAAAF/Xb2Q=")</f>
        <v>#REF!</v>
      </c>
      <c r="CX52" t="e">
        <f>AND('Listado General'!#REF!,"AAAAAF/Xb2U=")</f>
        <v>#REF!</v>
      </c>
      <c r="CY52" t="e">
        <f>AND('Listado General'!#REF!,"AAAAAF/Xb2Y=")</f>
        <v>#REF!</v>
      </c>
      <c r="CZ52" t="e">
        <f>AND('Listado General'!#REF!,"AAAAAF/Xb2c=")</f>
        <v>#REF!</v>
      </c>
      <c r="DA52" t="e">
        <f>AND('Listado General'!#REF!,"AAAAAF/Xb2g=")</f>
        <v>#REF!</v>
      </c>
      <c r="DB52" t="e">
        <f>AND('Listado General'!#REF!,"AAAAAF/Xb2k=")</f>
        <v>#REF!</v>
      </c>
      <c r="DC52" t="e">
        <f>AND('Listado General'!#REF!,"AAAAAF/Xb2o=")</f>
        <v>#REF!</v>
      </c>
      <c r="DD52" t="e">
        <f>AND('Listado General'!#REF!,"AAAAAF/Xb2s=")</f>
        <v>#REF!</v>
      </c>
      <c r="DE52" t="e">
        <f>AND('Listado General'!#REF!,"AAAAAF/Xb2w=")</f>
        <v>#REF!</v>
      </c>
      <c r="DF52" t="e">
        <f>IF('Listado General'!#REF!,"AAAAAF/Xb20=",0)</f>
        <v>#REF!</v>
      </c>
      <c r="DG52" t="e">
        <f>AND('Listado General'!#REF!,"AAAAAF/Xb24=")</f>
        <v>#REF!</v>
      </c>
      <c r="DH52" t="e">
        <f>AND('Listado General'!#REF!,"AAAAAF/Xb28=")</f>
        <v>#REF!</v>
      </c>
      <c r="DI52" t="e">
        <f>AND('Listado General'!#REF!,"AAAAAF/Xb3A=")</f>
        <v>#REF!</v>
      </c>
      <c r="DJ52" t="e">
        <f>AND('Listado General'!#REF!,"AAAAAF/Xb3E=")</f>
        <v>#REF!</v>
      </c>
      <c r="DK52" t="e">
        <f>AND('Listado General'!#REF!,"AAAAAF/Xb3I=")</f>
        <v>#REF!</v>
      </c>
      <c r="DL52" t="e">
        <f>AND('Listado General'!#REF!,"AAAAAF/Xb3M=")</f>
        <v>#REF!</v>
      </c>
      <c r="DM52" t="e">
        <f>AND('Listado General'!#REF!,"AAAAAF/Xb3Q=")</f>
        <v>#REF!</v>
      </c>
      <c r="DN52" t="e">
        <f>AND('Listado General'!#REF!,"AAAAAF/Xb3U=")</f>
        <v>#REF!</v>
      </c>
      <c r="DO52" t="e">
        <f>AND('Listado General'!#REF!,"AAAAAF/Xb3Y=")</f>
        <v>#REF!</v>
      </c>
      <c r="DP52" t="e">
        <f>IF('Listado General'!#REF!,"AAAAAF/Xb3c=",0)</f>
        <v>#REF!</v>
      </c>
      <c r="DQ52" t="e">
        <f>AND('Listado General'!#REF!,"AAAAAF/Xb3g=")</f>
        <v>#REF!</v>
      </c>
      <c r="DR52" t="e">
        <f>AND('Listado General'!#REF!,"AAAAAF/Xb3k=")</f>
        <v>#REF!</v>
      </c>
      <c r="DS52" t="e">
        <f>AND('Listado General'!#REF!,"AAAAAF/Xb3o=")</f>
        <v>#REF!</v>
      </c>
      <c r="DT52" t="e">
        <f>AND('Listado General'!#REF!,"AAAAAF/Xb3s=")</f>
        <v>#REF!</v>
      </c>
      <c r="DU52" t="e">
        <f>AND('Listado General'!#REF!,"AAAAAF/Xb3w=")</f>
        <v>#REF!</v>
      </c>
      <c r="DV52" t="e">
        <f>AND('Listado General'!#REF!,"AAAAAF/Xb30=")</f>
        <v>#REF!</v>
      </c>
      <c r="DW52" t="e">
        <f>AND('Listado General'!#REF!,"AAAAAF/Xb34=")</f>
        <v>#REF!</v>
      </c>
      <c r="DX52" t="e">
        <f>AND('Listado General'!#REF!,"AAAAAF/Xb38=")</f>
        <v>#REF!</v>
      </c>
      <c r="DY52" t="e">
        <f>AND('Listado General'!#REF!,"AAAAAF/Xb4A=")</f>
        <v>#REF!</v>
      </c>
      <c r="DZ52" t="e">
        <f>IF('Listado General'!#REF!,"AAAAAF/Xb4E=",0)</f>
        <v>#REF!</v>
      </c>
      <c r="EA52" t="e">
        <f>AND('Listado General'!#REF!,"AAAAAF/Xb4I=")</f>
        <v>#REF!</v>
      </c>
      <c r="EB52" t="e">
        <f>AND('Listado General'!#REF!,"AAAAAF/Xb4M=")</f>
        <v>#REF!</v>
      </c>
      <c r="EC52" t="e">
        <f>AND('Listado General'!#REF!,"AAAAAF/Xb4Q=")</f>
        <v>#REF!</v>
      </c>
      <c r="ED52" t="e">
        <f>AND('Listado General'!#REF!,"AAAAAF/Xb4U=")</f>
        <v>#REF!</v>
      </c>
      <c r="EE52" t="e">
        <f>AND('Listado General'!#REF!,"AAAAAF/Xb4Y=")</f>
        <v>#REF!</v>
      </c>
      <c r="EF52" t="e">
        <f>AND('Listado General'!#REF!,"AAAAAF/Xb4c=")</f>
        <v>#REF!</v>
      </c>
      <c r="EG52" t="e">
        <f>AND('Listado General'!#REF!,"AAAAAF/Xb4g=")</f>
        <v>#REF!</v>
      </c>
      <c r="EH52" t="e">
        <f>AND('Listado General'!#REF!,"AAAAAF/Xb4k=")</f>
        <v>#REF!</v>
      </c>
      <c r="EI52" t="e">
        <f>AND('Listado General'!#REF!,"AAAAAF/Xb4o=")</f>
        <v>#REF!</v>
      </c>
      <c r="EJ52" t="e">
        <f>IF('Listado General'!#REF!,"AAAAAF/Xb4s=",0)</f>
        <v>#REF!</v>
      </c>
      <c r="EK52" t="e">
        <f>AND('Listado General'!#REF!,"AAAAAF/Xb4w=")</f>
        <v>#REF!</v>
      </c>
      <c r="EL52" t="e">
        <f>AND('Listado General'!#REF!,"AAAAAF/Xb40=")</f>
        <v>#REF!</v>
      </c>
      <c r="EM52" t="e">
        <f>AND('Listado General'!#REF!,"AAAAAF/Xb44=")</f>
        <v>#REF!</v>
      </c>
      <c r="EN52" t="e">
        <f>AND('Listado General'!#REF!,"AAAAAF/Xb48=")</f>
        <v>#REF!</v>
      </c>
      <c r="EO52" t="e">
        <f>AND('Listado General'!#REF!,"AAAAAF/Xb5A=")</f>
        <v>#REF!</v>
      </c>
      <c r="EP52" t="e">
        <f>AND('Listado General'!#REF!,"AAAAAF/Xb5E=")</f>
        <v>#REF!</v>
      </c>
      <c r="EQ52" t="e">
        <f>AND('Listado General'!#REF!,"AAAAAF/Xb5I=")</f>
        <v>#REF!</v>
      </c>
      <c r="ER52" t="e">
        <f>AND('Listado General'!#REF!,"AAAAAF/Xb5M=")</f>
        <v>#REF!</v>
      </c>
      <c r="ES52" t="e">
        <f>AND('Listado General'!#REF!,"AAAAAF/Xb5Q=")</f>
        <v>#REF!</v>
      </c>
      <c r="ET52" t="e">
        <f>IF('Listado General'!#REF!,"AAAAAF/Xb5U=",0)</f>
        <v>#REF!</v>
      </c>
      <c r="EU52" t="e">
        <f>AND('Listado General'!#REF!,"AAAAAF/Xb5Y=")</f>
        <v>#REF!</v>
      </c>
      <c r="EV52" t="e">
        <f>AND('Listado General'!#REF!,"AAAAAF/Xb5c=")</f>
        <v>#REF!</v>
      </c>
      <c r="EW52" t="e">
        <f>AND('Listado General'!#REF!,"AAAAAF/Xb5g=")</f>
        <v>#REF!</v>
      </c>
      <c r="EX52" t="e">
        <f>AND('Listado General'!#REF!,"AAAAAF/Xb5k=")</f>
        <v>#REF!</v>
      </c>
      <c r="EY52" t="e">
        <f>AND('Listado General'!#REF!,"AAAAAF/Xb5o=")</f>
        <v>#REF!</v>
      </c>
      <c r="EZ52" t="e">
        <f>AND('Listado General'!#REF!,"AAAAAF/Xb5s=")</f>
        <v>#REF!</v>
      </c>
      <c r="FA52" t="e">
        <f>AND('Listado General'!#REF!,"AAAAAF/Xb5w=")</f>
        <v>#REF!</v>
      </c>
      <c r="FB52" t="e">
        <f>AND('Listado General'!#REF!,"AAAAAF/Xb50=")</f>
        <v>#REF!</v>
      </c>
      <c r="FC52" t="e">
        <f>AND('Listado General'!#REF!,"AAAAAF/Xb54=")</f>
        <v>#REF!</v>
      </c>
      <c r="FD52" t="e">
        <f>IF('Listado General'!#REF!,"AAAAAF/Xb58=",0)</f>
        <v>#REF!</v>
      </c>
      <c r="FE52" t="e">
        <f>AND('Listado General'!#REF!,"AAAAAF/Xb6A=")</f>
        <v>#REF!</v>
      </c>
      <c r="FF52" t="e">
        <f>AND('Listado General'!#REF!,"AAAAAF/Xb6E=")</f>
        <v>#REF!</v>
      </c>
      <c r="FG52" t="e">
        <f>AND('Listado General'!#REF!,"AAAAAF/Xb6I=")</f>
        <v>#REF!</v>
      </c>
      <c r="FH52" t="e">
        <f>AND('Listado General'!#REF!,"AAAAAF/Xb6M=")</f>
        <v>#REF!</v>
      </c>
      <c r="FI52" t="e">
        <f>AND('Listado General'!#REF!,"AAAAAF/Xb6Q=")</f>
        <v>#REF!</v>
      </c>
      <c r="FJ52" t="e">
        <f>AND('Listado General'!#REF!,"AAAAAF/Xb6U=")</f>
        <v>#REF!</v>
      </c>
      <c r="FK52" t="e">
        <f>AND('Listado General'!#REF!,"AAAAAF/Xb6Y=")</f>
        <v>#REF!</v>
      </c>
      <c r="FL52" t="e">
        <f>AND('Listado General'!#REF!,"AAAAAF/Xb6c=")</f>
        <v>#REF!</v>
      </c>
      <c r="FM52" t="e">
        <f>AND('Listado General'!#REF!,"AAAAAF/Xb6g=")</f>
        <v>#REF!</v>
      </c>
      <c r="FN52" t="e">
        <f>IF('Listado General'!#REF!,"AAAAAF/Xb6k=",0)</f>
        <v>#REF!</v>
      </c>
      <c r="FO52" t="e">
        <f>AND('Listado General'!#REF!,"AAAAAF/Xb6o=")</f>
        <v>#REF!</v>
      </c>
      <c r="FP52" t="e">
        <f>AND('Listado General'!#REF!,"AAAAAF/Xb6s=")</f>
        <v>#REF!</v>
      </c>
      <c r="FQ52" t="e">
        <f>AND('Listado General'!#REF!,"AAAAAF/Xb6w=")</f>
        <v>#REF!</v>
      </c>
      <c r="FR52" t="e">
        <f>AND('Listado General'!#REF!,"AAAAAF/Xb60=")</f>
        <v>#REF!</v>
      </c>
      <c r="FS52" t="e">
        <f>AND('Listado General'!#REF!,"AAAAAF/Xb64=")</f>
        <v>#REF!</v>
      </c>
      <c r="FT52" t="e">
        <f>AND('Listado General'!#REF!,"AAAAAF/Xb68=")</f>
        <v>#REF!</v>
      </c>
      <c r="FU52" t="e">
        <f>AND('Listado General'!#REF!,"AAAAAF/Xb7A=")</f>
        <v>#REF!</v>
      </c>
      <c r="FV52" t="e">
        <f>AND('Listado General'!#REF!,"AAAAAF/Xb7E=")</f>
        <v>#REF!</v>
      </c>
      <c r="FW52" t="e">
        <f>AND('Listado General'!#REF!,"AAAAAF/Xb7I=")</f>
        <v>#REF!</v>
      </c>
      <c r="FX52" t="e">
        <f>IF('Listado General'!#REF!,"AAAAAF/Xb7M=",0)</f>
        <v>#REF!</v>
      </c>
      <c r="FY52" t="e">
        <f>AND('Listado General'!#REF!,"AAAAAF/Xb7Q=")</f>
        <v>#REF!</v>
      </c>
      <c r="FZ52" t="e">
        <f>AND('Listado General'!#REF!,"AAAAAF/Xb7U=")</f>
        <v>#REF!</v>
      </c>
      <c r="GA52" t="e">
        <f>AND('Listado General'!#REF!,"AAAAAF/Xb7Y=")</f>
        <v>#REF!</v>
      </c>
      <c r="GB52" t="e">
        <f>AND('Listado General'!#REF!,"AAAAAF/Xb7c=")</f>
        <v>#REF!</v>
      </c>
      <c r="GC52" t="e">
        <f>AND('Listado General'!#REF!,"AAAAAF/Xb7g=")</f>
        <v>#REF!</v>
      </c>
      <c r="GD52" t="e">
        <f>AND('Listado General'!#REF!,"AAAAAF/Xb7k=")</f>
        <v>#REF!</v>
      </c>
      <c r="GE52" t="e">
        <f>AND('Listado General'!#REF!,"AAAAAF/Xb7o=")</f>
        <v>#REF!</v>
      </c>
      <c r="GF52" t="e">
        <f>AND('Listado General'!#REF!,"AAAAAF/Xb7s=")</f>
        <v>#REF!</v>
      </c>
      <c r="GG52" t="e">
        <f>AND('Listado General'!#REF!,"AAAAAF/Xb7w=")</f>
        <v>#REF!</v>
      </c>
      <c r="GH52" t="e">
        <f>IF('Listado General'!#REF!,"AAAAAF/Xb70=",0)</f>
        <v>#REF!</v>
      </c>
      <c r="GI52" t="e">
        <f>AND('Listado General'!#REF!,"AAAAAF/Xb74=")</f>
        <v>#REF!</v>
      </c>
      <c r="GJ52" t="e">
        <f>AND('Listado General'!#REF!,"AAAAAF/Xb78=")</f>
        <v>#REF!</v>
      </c>
      <c r="GK52" t="e">
        <f>AND('Listado General'!#REF!,"AAAAAF/Xb8A=")</f>
        <v>#REF!</v>
      </c>
      <c r="GL52" t="e">
        <f>AND('Listado General'!#REF!,"AAAAAF/Xb8E=")</f>
        <v>#REF!</v>
      </c>
      <c r="GM52" t="e">
        <f>AND('Listado General'!#REF!,"AAAAAF/Xb8I=")</f>
        <v>#REF!</v>
      </c>
      <c r="GN52" t="e">
        <f>AND('Listado General'!#REF!,"AAAAAF/Xb8M=")</f>
        <v>#REF!</v>
      </c>
      <c r="GO52" t="e">
        <f>AND('Listado General'!#REF!,"AAAAAF/Xb8Q=")</f>
        <v>#REF!</v>
      </c>
      <c r="GP52" t="e">
        <f>AND('Listado General'!#REF!,"AAAAAF/Xb8U=")</f>
        <v>#REF!</v>
      </c>
      <c r="GQ52" t="e">
        <f>AND('Listado General'!#REF!,"AAAAAF/Xb8Y=")</f>
        <v>#REF!</v>
      </c>
      <c r="GR52" t="e">
        <f>IF('Listado General'!#REF!,"AAAAAF/Xb8c=",0)</f>
        <v>#REF!</v>
      </c>
      <c r="GS52" t="e">
        <f>AND('Listado General'!#REF!,"AAAAAF/Xb8g=")</f>
        <v>#REF!</v>
      </c>
      <c r="GT52" t="e">
        <f>AND('Listado General'!#REF!,"AAAAAF/Xb8k=")</f>
        <v>#REF!</v>
      </c>
      <c r="GU52" t="e">
        <f>AND('Listado General'!#REF!,"AAAAAF/Xb8o=")</f>
        <v>#REF!</v>
      </c>
      <c r="GV52" t="e">
        <f>AND('Listado General'!#REF!,"AAAAAF/Xb8s=")</f>
        <v>#REF!</v>
      </c>
      <c r="GW52" t="e">
        <f>AND('Listado General'!#REF!,"AAAAAF/Xb8w=")</f>
        <v>#REF!</v>
      </c>
      <c r="GX52" t="e">
        <f>AND('Listado General'!#REF!,"AAAAAF/Xb80=")</f>
        <v>#REF!</v>
      </c>
      <c r="GY52" t="e">
        <f>AND('Listado General'!#REF!,"AAAAAF/Xb84=")</f>
        <v>#REF!</v>
      </c>
      <c r="GZ52" t="e">
        <f>AND('Listado General'!#REF!,"AAAAAF/Xb88=")</f>
        <v>#REF!</v>
      </c>
      <c r="HA52" t="e">
        <f>AND('Listado General'!#REF!,"AAAAAF/Xb9A=")</f>
        <v>#REF!</v>
      </c>
      <c r="HB52" t="e">
        <f>IF('Listado General'!#REF!,"AAAAAF/Xb9E=",0)</f>
        <v>#REF!</v>
      </c>
      <c r="HC52" t="e">
        <f>AND('Listado General'!#REF!,"AAAAAF/Xb9I=")</f>
        <v>#REF!</v>
      </c>
      <c r="HD52" t="e">
        <f>AND('Listado General'!#REF!,"AAAAAF/Xb9M=")</f>
        <v>#REF!</v>
      </c>
      <c r="HE52" t="e">
        <f>AND('Listado General'!#REF!,"AAAAAF/Xb9Q=")</f>
        <v>#REF!</v>
      </c>
      <c r="HF52" t="e">
        <f>AND('Listado General'!#REF!,"AAAAAF/Xb9U=")</f>
        <v>#REF!</v>
      </c>
      <c r="HG52" t="e">
        <f>AND('Listado General'!#REF!,"AAAAAF/Xb9Y=")</f>
        <v>#REF!</v>
      </c>
      <c r="HH52" t="e">
        <f>AND('Listado General'!#REF!,"AAAAAF/Xb9c=")</f>
        <v>#REF!</v>
      </c>
      <c r="HI52" t="e">
        <f>AND('Listado General'!#REF!,"AAAAAF/Xb9g=")</f>
        <v>#REF!</v>
      </c>
      <c r="HJ52" t="e">
        <f>AND('Listado General'!#REF!,"AAAAAF/Xb9k=")</f>
        <v>#REF!</v>
      </c>
      <c r="HK52" t="e">
        <f>AND('Listado General'!#REF!,"AAAAAF/Xb9o=")</f>
        <v>#REF!</v>
      </c>
      <c r="HL52" t="e">
        <f>IF('Listado General'!#REF!,"AAAAAF/Xb9s=",0)</f>
        <v>#REF!</v>
      </c>
      <c r="HM52" t="e">
        <f>AND('Listado General'!#REF!,"AAAAAF/Xb9w=")</f>
        <v>#REF!</v>
      </c>
      <c r="HN52" t="e">
        <f>AND('Listado General'!#REF!,"AAAAAF/Xb90=")</f>
        <v>#REF!</v>
      </c>
      <c r="HO52" t="e">
        <f>AND('Listado General'!#REF!,"AAAAAF/Xb94=")</f>
        <v>#REF!</v>
      </c>
      <c r="HP52" t="e">
        <f>AND('Listado General'!#REF!,"AAAAAF/Xb98=")</f>
        <v>#REF!</v>
      </c>
      <c r="HQ52" t="e">
        <f>AND('Listado General'!#REF!,"AAAAAF/Xb+A=")</f>
        <v>#REF!</v>
      </c>
      <c r="HR52" t="e">
        <f>AND('Listado General'!#REF!,"AAAAAF/Xb+E=")</f>
        <v>#REF!</v>
      </c>
      <c r="HS52" t="e">
        <f>AND('Listado General'!#REF!,"AAAAAF/Xb+I=")</f>
        <v>#REF!</v>
      </c>
      <c r="HT52" t="e">
        <f>AND('Listado General'!#REF!,"AAAAAF/Xb+M=")</f>
        <v>#REF!</v>
      </c>
      <c r="HU52" t="e">
        <f>AND('Listado General'!#REF!,"AAAAAF/Xb+Q=")</f>
        <v>#REF!</v>
      </c>
      <c r="HV52" t="e">
        <f>IF('Listado General'!#REF!,"AAAAAF/Xb+U=",0)</f>
        <v>#REF!</v>
      </c>
      <c r="HW52" t="e">
        <f>AND('Listado General'!#REF!,"AAAAAF/Xb+Y=")</f>
        <v>#REF!</v>
      </c>
      <c r="HX52" t="e">
        <f>AND('Listado General'!#REF!,"AAAAAF/Xb+c=")</f>
        <v>#REF!</v>
      </c>
      <c r="HY52" t="e">
        <f>AND('Listado General'!#REF!,"AAAAAF/Xb+g=")</f>
        <v>#REF!</v>
      </c>
      <c r="HZ52" t="e">
        <f>AND('Listado General'!#REF!,"AAAAAF/Xb+k=")</f>
        <v>#REF!</v>
      </c>
      <c r="IA52" t="e">
        <f>AND('Listado General'!#REF!,"AAAAAF/Xb+o=")</f>
        <v>#REF!</v>
      </c>
      <c r="IB52" t="e">
        <f>AND('Listado General'!#REF!,"AAAAAF/Xb+s=")</f>
        <v>#REF!</v>
      </c>
      <c r="IC52" t="e">
        <f>AND('Listado General'!#REF!,"AAAAAF/Xb+w=")</f>
        <v>#REF!</v>
      </c>
      <c r="ID52" t="e">
        <f>AND('Listado General'!#REF!,"AAAAAF/Xb+0=")</f>
        <v>#REF!</v>
      </c>
      <c r="IE52" t="e">
        <f>AND('Listado General'!#REF!,"AAAAAF/Xb+4=")</f>
        <v>#REF!</v>
      </c>
      <c r="IF52" t="e">
        <f>IF('Listado General'!#REF!,"AAAAAF/Xb+8=",0)</f>
        <v>#REF!</v>
      </c>
      <c r="IG52" t="e">
        <f>AND('Listado General'!#REF!,"AAAAAF/Xb/A=")</f>
        <v>#REF!</v>
      </c>
      <c r="IH52" t="e">
        <f>AND('Listado General'!#REF!,"AAAAAF/Xb/E=")</f>
        <v>#REF!</v>
      </c>
      <c r="II52" t="e">
        <f>AND('Listado General'!#REF!,"AAAAAF/Xb/I=")</f>
        <v>#REF!</v>
      </c>
      <c r="IJ52" t="e">
        <f>AND('Listado General'!#REF!,"AAAAAF/Xb/M=")</f>
        <v>#REF!</v>
      </c>
      <c r="IK52" t="e">
        <f>AND('Listado General'!#REF!,"AAAAAF/Xb/Q=")</f>
        <v>#REF!</v>
      </c>
      <c r="IL52" t="e">
        <f>AND('Listado General'!#REF!,"AAAAAF/Xb/U=")</f>
        <v>#REF!</v>
      </c>
      <c r="IM52" t="e">
        <f>AND('Listado General'!#REF!,"AAAAAF/Xb/Y=")</f>
        <v>#REF!</v>
      </c>
      <c r="IN52" t="e">
        <f>AND('Listado General'!#REF!,"AAAAAF/Xb/c=")</f>
        <v>#REF!</v>
      </c>
      <c r="IO52" t="e">
        <f>AND('Listado General'!#REF!,"AAAAAF/Xb/g=")</f>
        <v>#REF!</v>
      </c>
      <c r="IP52" t="e">
        <f>IF('Listado General'!#REF!,"AAAAAF/Xb/k=",0)</f>
        <v>#REF!</v>
      </c>
      <c r="IQ52" t="e">
        <f>AND('Listado General'!#REF!,"AAAAAF/Xb/o=")</f>
        <v>#REF!</v>
      </c>
      <c r="IR52" t="e">
        <f>AND('Listado General'!#REF!,"AAAAAF/Xb/s=")</f>
        <v>#REF!</v>
      </c>
      <c r="IS52" t="e">
        <f>AND('Listado General'!#REF!,"AAAAAF/Xb/w=")</f>
        <v>#REF!</v>
      </c>
      <c r="IT52" t="e">
        <f>AND('Listado General'!#REF!,"AAAAAF/Xb/0=")</f>
        <v>#REF!</v>
      </c>
      <c r="IU52" t="e">
        <f>AND('Listado General'!#REF!,"AAAAAF/Xb/4=")</f>
        <v>#REF!</v>
      </c>
      <c r="IV52" t="e">
        <f>AND('Listado General'!#REF!,"AAAAAF/Xb/8=")</f>
        <v>#REF!</v>
      </c>
    </row>
    <row r="53" spans="1:256" ht="12.75">
      <c r="A53" t="e">
        <f>AND('Listado General'!#REF!,"AAAAAHzc/wA=")</f>
        <v>#REF!</v>
      </c>
      <c r="B53" t="e">
        <f>AND('Listado General'!#REF!,"AAAAAHzc/wE=")</f>
        <v>#REF!</v>
      </c>
      <c r="C53" t="e">
        <f>AND('Listado General'!#REF!,"AAAAAHzc/wI=")</f>
        <v>#REF!</v>
      </c>
      <c r="D53" t="e">
        <f>IF('Listado General'!#REF!,"AAAAAHzc/wM=",0)</f>
        <v>#REF!</v>
      </c>
      <c r="E53" t="e">
        <f>AND('Listado General'!#REF!,"AAAAAHzc/wQ=")</f>
        <v>#REF!</v>
      </c>
      <c r="F53" t="e">
        <f>AND('Listado General'!#REF!,"AAAAAHzc/wU=")</f>
        <v>#REF!</v>
      </c>
      <c r="G53" t="e">
        <f>AND('Listado General'!#REF!,"AAAAAHzc/wY=")</f>
        <v>#REF!</v>
      </c>
      <c r="H53" t="e">
        <f>AND('Listado General'!#REF!,"AAAAAHzc/wc=")</f>
        <v>#REF!</v>
      </c>
      <c r="I53" t="e">
        <f>AND('Listado General'!#REF!,"AAAAAHzc/wg=")</f>
        <v>#REF!</v>
      </c>
      <c r="J53" t="e">
        <f>AND('Listado General'!#REF!,"AAAAAHzc/wk=")</f>
        <v>#REF!</v>
      </c>
      <c r="K53" t="e">
        <f>AND('Listado General'!#REF!,"AAAAAHzc/wo=")</f>
        <v>#REF!</v>
      </c>
      <c r="L53" t="e">
        <f>AND('Listado General'!#REF!,"AAAAAHzc/ws=")</f>
        <v>#REF!</v>
      </c>
      <c r="M53" t="e">
        <f>AND('Listado General'!#REF!,"AAAAAHzc/ww=")</f>
        <v>#REF!</v>
      </c>
      <c r="N53" t="e">
        <f>IF('Listado General'!#REF!,"AAAAAHzc/w0=",0)</f>
        <v>#REF!</v>
      </c>
      <c r="O53" t="e">
        <f>AND('Listado General'!#REF!,"AAAAAHzc/w4=")</f>
        <v>#REF!</v>
      </c>
      <c r="P53" t="e">
        <f>AND('Listado General'!#REF!,"AAAAAHzc/w8=")</f>
        <v>#REF!</v>
      </c>
      <c r="Q53" t="e">
        <f>AND('Listado General'!#REF!,"AAAAAHzc/xA=")</f>
        <v>#REF!</v>
      </c>
      <c r="R53" t="e">
        <f>AND('Listado General'!#REF!,"AAAAAHzc/xE=")</f>
        <v>#REF!</v>
      </c>
      <c r="S53" t="e">
        <f>AND('Listado General'!#REF!,"AAAAAHzc/xI=")</f>
        <v>#REF!</v>
      </c>
      <c r="T53" t="e">
        <f>AND('Listado General'!#REF!,"AAAAAHzc/xM=")</f>
        <v>#REF!</v>
      </c>
      <c r="U53" t="e">
        <f>AND('Listado General'!#REF!,"AAAAAHzc/xQ=")</f>
        <v>#REF!</v>
      </c>
      <c r="V53" t="e">
        <f>AND('Listado General'!#REF!,"AAAAAHzc/xU=")</f>
        <v>#REF!</v>
      </c>
      <c r="W53" t="e">
        <f>AND('Listado General'!#REF!,"AAAAAHzc/xY=")</f>
        <v>#REF!</v>
      </c>
      <c r="X53" t="e">
        <f>IF('Listado General'!#REF!,"AAAAAHzc/xc=",0)</f>
        <v>#REF!</v>
      </c>
      <c r="Y53" t="e">
        <f>AND('Listado General'!#REF!,"AAAAAHzc/xg=")</f>
        <v>#REF!</v>
      </c>
      <c r="Z53" t="e">
        <f>AND('Listado General'!#REF!,"AAAAAHzc/xk=")</f>
        <v>#REF!</v>
      </c>
      <c r="AA53" t="e">
        <f>AND('Listado General'!#REF!,"AAAAAHzc/xo=")</f>
        <v>#REF!</v>
      </c>
      <c r="AB53" t="e">
        <f>AND('Listado General'!#REF!,"AAAAAHzc/xs=")</f>
        <v>#REF!</v>
      </c>
      <c r="AC53" t="e">
        <f>AND('Listado General'!#REF!,"AAAAAHzc/xw=")</f>
        <v>#REF!</v>
      </c>
      <c r="AD53" t="e">
        <f>AND('Listado General'!#REF!,"AAAAAHzc/x0=")</f>
        <v>#REF!</v>
      </c>
      <c r="AE53" t="e">
        <f>AND('Listado General'!#REF!,"AAAAAHzc/x4=")</f>
        <v>#REF!</v>
      </c>
      <c r="AF53" t="e">
        <f>AND('Listado General'!#REF!,"AAAAAHzc/x8=")</f>
        <v>#REF!</v>
      </c>
      <c r="AG53" t="e">
        <f>AND('Listado General'!#REF!,"AAAAAHzc/yA=")</f>
        <v>#REF!</v>
      </c>
      <c r="AH53" t="e">
        <f>IF('Listado General'!#REF!,"AAAAAHzc/yE=",0)</f>
        <v>#REF!</v>
      </c>
      <c r="AI53" t="e">
        <f>AND('Listado General'!#REF!,"AAAAAHzc/yI=")</f>
        <v>#REF!</v>
      </c>
      <c r="AJ53" t="e">
        <f>AND('Listado General'!#REF!,"AAAAAHzc/yM=")</f>
        <v>#REF!</v>
      </c>
      <c r="AK53" t="e">
        <f>AND('Listado General'!#REF!,"AAAAAHzc/yQ=")</f>
        <v>#REF!</v>
      </c>
      <c r="AL53" t="e">
        <f>AND('Listado General'!#REF!,"AAAAAHzc/yU=")</f>
        <v>#REF!</v>
      </c>
      <c r="AM53" t="e">
        <f>AND('Listado General'!#REF!,"AAAAAHzc/yY=")</f>
        <v>#REF!</v>
      </c>
      <c r="AN53" t="e">
        <f>AND('Listado General'!#REF!,"AAAAAHzc/yc=")</f>
        <v>#REF!</v>
      </c>
      <c r="AO53" t="e">
        <f>AND('Listado General'!#REF!,"AAAAAHzc/yg=")</f>
        <v>#REF!</v>
      </c>
      <c r="AP53" t="e">
        <f>AND('Listado General'!#REF!,"AAAAAHzc/yk=")</f>
        <v>#REF!</v>
      </c>
      <c r="AQ53" t="e">
        <f>AND('Listado General'!#REF!,"AAAAAHzc/yo=")</f>
        <v>#REF!</v>
      </c>
      <c r="AR53" t="e">
        <f>IF('Listado General'!#REF!,"AAAAAHzc/ys=",0)</f>
        <v>#REF!</v>
      </c>
      <c r="AS53" t="e">
        <f>AND('Listado General'!#REF!,"AAAAAHzc/yw=")</f>
        <v>#REF!</v>
      </c>
      <c r="AT53" t="e">
        <f>AND('Listado General'!#REF!,"AAAAAHzc/y0=")</f>
        <v>#REF!</v>
      </c>
      <c r="AU53" t="e">
        <f>AND('Listado General'!#REF!,"AAAAAHzc/y4=")</f>
        <v>#REF!</v>
      </c>
      <c r="AV53" t="e">
        <f>AND('Listado General'!#REF!,"AAAAAHzc/y8=")</f>
        <v>#REF!</v>
      </c>
      <c r="AW53" t="e">
        <f>AND('Listado General'!#REF!,"AAAAAHzc/zA=")</f>
        <v>#REF!</v>
      </c>
      <c r="AX53" t="e">
        <f>AND('Listado General'!#REF!,"AAAAAHzc/zE=")</f>
        <v>#REF!</v>
      </c>
      <c r="AY53" t="e">
        <f>AND('Listado General'!#REF!,"AAAAAHzc/zI=")</f>
        <v>#REF!</v>
      </c>
      <c r="AZ53" t="e">
        <f>AND('Listado General'!#REF!,"AAAAAHzc/zM=")</f>
        <v>#REF!</v>
      </c>
      <c r="BA53" t="e">
        <f>AND('Listado General'!#REF!,"AAAAAHzc/zQ=")</f>
        <v>#REF!</v>
      </c>
      <c r="BB53" t="e">
        <f>IF('Listado General'!#REF!,"AAAAAHzc/zU=",0)</f>
        <v>#REF!</v>
      </c>
      <c r="BC53" t="e">
        <f>AND('Listado General'!#REF!,"AAAAAHzc/zY=")</f>
        <v>#REF!</v>
      </c>
      <c r="BD53" t="e">
        <f>AND('Listado General'!#REF!,"AAAAAHzc/zc=")</f>
        <v>#REF!</v>
      </c>
      <c r="BE53" t="e">
        <f>AND('Listado General'!#REF!,"AAAAAHzc/zg=")</f>
        <v>#REF!</v>
      </c>
      <c r="BF53" t="e">
        <f>AND('Listado General'!#REF!,"AAAAAHzc/zk=")</f>
        <v>#REF!</v>
      </c>
      <c r="BG53" t="e">
        <f>AND('Listado General'!#REF!,"AAAAAHzc/zo=")</f>
        <v>#REF!</v>
      </c>
      <c r="BH53" t="e">
        <f>AND('Listado General'!#REF!,"AAAAAHzc/zs=")</f>
        <v>#REF!</v>
      </c>
      <c r="BI53" t="e">
        <f>AND('Listado General'!#REF!,"AAAAAHzc/zw=")</f>
        <v>#REF!</v>
      </c>
      <c r="BJ53" t="e">
        <f>AND('Listado General'!#REF!,"AAAAAHzc/z0=")</f>
        <v>#REF!</v>
      </c>
      <c r="BK53" t="e">
        <f>AND('Listado General'!#REF!,"AAAAAHzc/z4=")</f>
        <v>#REF!</v>
      </c>
      <c r="BL53" t="e">
        <f>IF('Listado General'!#REF!,"AAAAAHzc/z8=",0)</f>
        <v>#REF!</v>
      </c>
      <c r="BM53" t="e">
        <f>AND('Listado General'!#REF!,"AAAAAHzc/0A=")</f>
        <v>#REF!</v>
      </c>
      <c r="BN53" t="e">
        <f>AND('Listado General'!#REF!,"AAAAAHzc/0E=")</f>
        <v>#REF!</v>
      </c>
      <c r="BO53" t="e">
        <f>AND('Listado General'!#REF!,"AAAAAHzc/0I=")</f>
        <v>#REF!</v>
      </c>
      <c r="BP53" t="e">
        <f>AND('Listado General'!#REF!,"AAAAAHzc/0M=")</f>
        <v>#REF!</v>
      </c>
      <c r="BQ53" t="e">
        <f>AND('Listado General'!#REF!,"AAAAAHzc/0Q=")</f>
        <v>#REF!</v>
      </c>
      <c r="BR53" t="e">
        <f>AND('Listado General'!#REF!,"AAAAAHzc/0U=")</f>
        <v>#REF!</v>
      </c>
      <c r="BS53" t="e">
        <f>AND('Listado General'!#REF!,"AAAAAHzc/0Y=")</f>
        <v>#REF!</v>
      </c>
      <c r="BT53" t="e">
        <f>AND('Listado General'!#REF!,"AAAAAHzc/0c=")</f>
        <v>#REF!</v>
      </c>
      <c r="BU53" t="e">
        <f>AND('Listado General'!#REF!,"AAAAAHzc/0g=")</f>
        <v>#REF!</v>
      </c>
      <c r="BV53" t="e">
        <f>IF('Listado General'!#REF!,"AAAAAHzc/0k=",0)</f>
        <v>#REF!</v>
      </c>
      <c r="BW53" t="e">
        <f>AND('Listado General'!#REF!,"AAAAAHzc/0o=")</f>
        <v>#REF!</v>
      </c>
      <c r="BX53" t="e">
        <f>AND('Listado General'!#REF!,"AAAAAHzc/0s=")</f>
        <v>#REF!</v>
      </c>
      <c r="BY53" t="e">
        <f>AND('Listado General'!#REF!,"AAAAAHzc/0w=")</f>
        <v>#REF!</v>
      </c>
      <c r="BZ53" t="e">
        <f>AND('Listado General'!#REF!,"AAAAAHzc/00=")</f>
        <v>#REF!</v>
      </c>
      <c r="CA53" t="e">
        <f>AND('Listado General'!#REF!,"AAAAAHzc/04=")</f>
        <v>#REF!</v>
      </c>
      <c r="CB53" t="e">
        <f>AND('Listado General'!#REF!,"AAAAAHzc/08=")</f>
        <v>#REF!</v>
      </c>
      <c r="CC53" t="e">
        <f>AND('Listado General'!#REF!,"AAAAAHzc/1A=")</f>
        <v>#REF!</v>
      </c>
      <c r="CD53" t="e">
        <f>AND('Listado General'!#REF!,"AAAAAHzc/1E=")</f>
        <v>#REF!</v>
      </c>
      <c r="CE53" t="e">
        <f>AND('Listado General'!#REF!,"AAAAAHzc/1I=")</f>
        <v>#REF!</v>
      </c>
      <c r="CF53" t="e">
        <f>IF('Listado General'!#REF!,"AAAAAHzc/1M=",0)</f>
        <v>#REF!</v>
      </c>
      <c r="CG53" t="e">
        <f>AND('Listado General'!#REF!,"AAAAAHzc/1Q=")</f>
        <v>#REF!</v>
      </c>
      <c r="CH53" t="e">
        <f>AND('Listado General'!#REF!,"AAAAAHzc/1U=")</f>
        <v>#REF!</v>
      </c>
      <c r="CI53" t="e">
        <f>AND('Listado General'!#REF!,"AAAAAHzc/1Y=")</f>
        <v>#REF!</v>
      </c>
      <c r="CJ53" t="e">
        <f>AND('Listado General'!#REF!,"AAAAAHzc/1c=")</f>
        <v>#REF!</v>
      </c>
      <c r="CK53" t="e">
        <f>AND('Listado General'!#REF!,"AAAAAHzc/1g=")</f>
        <v>#REF!</v>
      </c>
      <c r="CL53" t="e">
        <f>AND('Listado General'!#REF!,"AAAAAHzc/1k=")</f>
        <v>#REF!</v>
      </c>
      <c r="CM53" t="e">
        <f>AND('Listado General'!#REF!,"AAAAAHzc/1o=")</f>
        <v>#REF!</v>
      </c>
      <c r="CN53" t="e">
        <f>AND('Listado General'!#REF!,"AAAAAHzc/1s=")</f>
        <v>#REF!</v>
      </c>
      <c r="CO53" t="e">
        <f>AND('Listado General'!#REF!,"AAAAAHzc/1w=")</f>
        <v>#REF!</v>
      </c>
      <c r="CP53" t="e">
        <f>IF('Listado General'!#REF!,"AAAAAHzc/10=",0)</f>
        <v>#REF!</v>
      </c>
      <c r="CQ53" t="e">
        <f>AND('Listado General'!#REF!,"AAAAAHzc/14=")</f>
        <v>#REF!</v>
      </c>
      <c r="CR53" t="e">
        <f>AND('Listado General'!#REF!,"AAAAAHzc/18=")</f>
        <v>#REF!</v>
      </c>
      <c r="CS53" t="e">
        <f>AND('Listado General'!#REF!,"AAAAAHzc/2A=")</f>
        <v>#REF!</v>
      </c>
      <c r="CT53" t="e">
        <f>AND('Listado General'!#REF!,"AAAAAHzc/2E=")</f>
        <v>#REF!</v>
      </c>
      <c r="CU53" t="e">
        <f>AND('Listado General'!#REF!,"AAAAAHzc/2I=")</f>
        <v>#REF!</v>
      </c>
      <c r="CV53" t="e">
        <f>AND('Listado General'!#REF!,"AAAAAHzc/2M=")</f>
        <v>#REF!</v>
      </c>
      <c r="CW53" t="e">
        <f>AND('Listado General'!#REF!,"AAAAAHzc/2Q=")</f>
        <v>#REF!</v>
      </c>
      <c r="CX53" t="e">
        <f>AND('Listado General'!#REF!,"AAAAAHzc/2U=")</f>
        <v>#REF!</v>
      </c>
      <c r="CY53" t="e">
        <f>AND('Listado General'!#REF!,"AAAAAHzc/2Y=")</f>
        <v>#REF!</v>
      </c>
      <c r="CZ53" t="e">
        <f>IF('Listado General'!#REF!,"AAAAAHzc/2c=",0)</f>
        <v>#REF!</v>
      </c>
      <c r="DA53" t="e">
        <f>AND('Listado General'!#REF!,"AAAAAHzc/2g=")</f>
        <v>#REF!</v>
      </c>
      <c r="DB53" t="e">
        <f>AND('Listado General'!#REF!,"AAAAAHzc/2k=")</f>
        <v>#REF!</v>
      </c>
      <c r="DC53" t="e">
        <f>AND('Listado General'!#REF!,"AAAAAHzc/2o=")</f>
        <v>#REF!</v>
      </c>
      <c r="DD53" t="e">
        <f>AND('Listado General'!#REF!,"AAAAAHzc/2s=")</f>
        <v>#REF!</v>
      </c>
      <c r="DE53" t="e">
        <f>AND('Listado General'!#REF!,"AAAAAHzc/2w=")</f>
        <v>#REF!</v>
      </c>
      <c r="DF53" t="e">
        <f>AND('Listado General'!#REF!,"AAAAAHzc/20=")</f>
        <v>#REF!</v>
      </c>
      <c r="DG53" t="e">
        <f>AND('Listado General'!#REF!,"AAAAAHzc/24=")</f>
        <v>#REF!</v>
      </c>
      <c r="DH53" t="e">
        <f>AND('Listado General'!#REF!,"AAAAAHzc/28=")</f>
        <v>#REF!</v>
      </c>
      <c r="DI53" t="e">
        <f>AND('Listado General'!#REF!,"AAAAAHzc/3A=")</f>
        <v>#REF!</v>
      </c>
      <c r="DJ53" t="e">
        <f>IF('Listado General'!#REF!,"AAAAAHzc/3E=",0)</f>
        <v>#REF!</v>
      </c>
      <c r="DK53" t="e">
        <f>AND('Listado General'!#REF!,"AAAAAHzc/3I=")</f>
        <v>#REF!</v>
      </c>
      <c r="DL53" t="e">
        <f>AND('Listado General'!#REF!,"AAAAAHzc/3M=")</f>
        <v>#REF!</v>
      </c>
      <c r="DM53" t="e">
        <f>AND('Listado General'!#REF!,"AAAAAHzc/3Q=")</f>
        <v>#REF!</v>
      </c>
      <c r="DN53" t="e">
        <f>AND('Listado General'!#REF!,"AAAAAHzc/3U=")</f>
        <v>#REF!</v>
      </c>
      <c r="DO53" t="e">
        <f>AND('Listado General'!#REF!,"AAAAAHzc/3Y=")</f>
        <v>#REF!</v>
      </c>
      <c r="DP53" t="e">
        <f>AND('Listado General'!#REF!,"AAAAAHzc/3c=")</f>
        <v>#REF!</v>
      </c>
      <c r="DQ53" t="e">
        <f>AND('Listado General'!#REF!,"AAAAAHzc/3g=")</f>
        <v>#REF!</v>
      </c>
      <c r="DR53" t="e">
        <f>AND('Listado General'!#REF!,"AAAAAHzc/3k=")</f>
        <v>#REF!</v>
      </c>
      <c r="DS53" t="e">
        <f>AND('Listado General'!#REF!,"AAAAAHzc/3o=")</f>
        <v>#REF!</v>
      </c>
      <c r="DT53" t="e">
        <f>IF('Listado General'!#REF!,"AAAAAHzc/3s=",0)</f>
        <v>#REF!</v>
      </c>
      <c r="DU53" t="e">
        <f>AND('Listado General'!#REF!,"AAAAAHzc/3w=")</f>
        <v>#REF!</v>
      </c>
      <c r="DV53" t="e">
        <f>AND('Listado General'!#REF!,"AAAAAHzc/30=")</f>
        <v>#REF!</v>
      </c>
      <c r="DW53" t="e">
        <f>AND('Listado General'!#REF!,"AAAAAHzc/34=")</f>
        <v>#REF!</v>
      </c>
      <c r="DX53" t="e">
        <f>AND('Listado General'!#REF!,"AAAAAHzc/38=")</f>
        <v>#REF!</v>
      </c>
      <c r="DY53" t="e">
        <f>AND('Listado General'!#REF!,"AAAAAHzc/4A=")</f>
        <v>#REF!</v>
      </c>
      <c r="DZ53" t="e">
        <f>AND('Listado General'!#REF!,"AAAAAHzc/4E=")</f>
        <v>#REF!</v>
      </c>
      <c r="EA53" t="e">
        <f>AND('Listado General'!#REF!,"AAAAAHzc/4I=")</f>
        <v>#REF!</v>
      </c>
      <c r="EB53" t="e">
        <f>AND('Listado General'!#REF!,"AAAAAHzc/4M=")</f>
        <v>#REF!</v>
      </c>
      <c r="EC53" t="e">
        <f>AND('Listado General'!#REF!,"AAAAAHzc/4Q=")</f>
        <v>#REF!</v>
      </c>
      <c r="ED53" t="e">
        <f>IF('Listado General'!#REF!,"AAAAAHzc/4U=",0)</f>
        <v>#REF!</v>
      </c>
      <c r="EE53" t="e">
        <f>AND('Listado General'!#REF!,"AAAAAHzc/4Y=")</f>
        <v>#REF!</v>
      </c>
      <c r="EF53" t="e">
        <f>AND('Listado General'!#REF!,"AAAAAHzc/4c=")</f>
        <v>#REF!</v>
      </c>
      <c r="EG53" t="e">
        <f>AND('Listado General'!#REF!,"AAAAAHzc/4g=")</f>
        <v>#REF!</v>
      </c>
      <c r="EH53" t="e">
        <f>AND('Listado General'!#REF!,"AAAAAHzc/4k=")</f>
        <v>#REF!</v>
      </c>
      <c r="EI53" t="e">
        <f>AND('Listado General'!#REF!,"AAAAAHzc/4o=")</f>
        <v>#REF!</v>
      </c>
      <c r="EJ53" t="e">
        <f>AND('Listado General'!#REF!,"AAAAAHzc/4s=")</f>
        <v>#REF!</v>
      </c>
      <c r="EK53" t="e">
        <f>AND('Listado General'!#REF!,"AAAAAHzc/4w=")</f>
        <v>#REF!</v>
      </c>
      <c r="EL53" t="e">
        <f>AND('Listado General'!#REF!,"AAAAAHzc/40=")</f>
        <v>#REF!</v>
      </c>
      <c r="EM53" t="e">
        <f>AND('Listado General'!#REF!,"AAAAAHzc/44=")</f>
        <v>#REF!</v>
      </c>
      <c r="EN53" t="e">
        <f>IF('Listado General'!#REF!,"AAAAAHzc/48=",0)</f>
        <v>#REF!</v>
      </c>
      <c r="EO53" t="e">
        <f>AND('Listado General'!#REF!,"AAAAAHzc/5A=")</f>
        <v>#REF!</v>
      </c>
      <c r="EP53" t="e">
        <f>AND('Listado General'!#REF!,"AAAAAHzc/5E=")</f>
        <v>#REF!</v>
      </c>
      <c r="EQ53" t="e">
        <f>AND('Listado General'!#REF!,"AAAAAHzc/5I=")</f>
        <v>#REF!</v>
      </c>
      <c r="ER53" t="e">
        <f>AND('Listado General'!#REF!,"AAAAAHzc/5M=")</f>
        <v>#REF!</v>
      </c>
      <c r="ES53" t="e">
        <f>AND('Listado General'!#REF!,"AAAAAHzc/5Q=")</f>
        <v>#REF!</v>
      </c>
      <c r="ET53" t="e">
        <f>AND('Listado General'!#REF!,"AAAAAHzc/5U=")</f>
        <v>#REF!</v>
      </c>
      <c r="EU53" t="e">
        <f>AND('Listado General'!#REF!,"AAAAAHzc/5Y=")</f>
        <v>#REF!</v>
      </c>
      <c r="EV53" t="e">
        <f>AND('Listado General'!#REF!,"AAAAAHzc/5c=")</f>
        <v>#REF!</v>
      </c>
      <c r="EW53" t="e">
        <f>AND('Listado General'!#REF!,"AAAAAHzc/5g=")</f>
        <v>#REF!</v>
      </c>
      <c r="EX53" t="e">
        <f>IF('Listado General'!#REF!,"AAAAAHzc/5k=",0)</f>
        <v>#REF!</v>
      </c>
      <c r="EY53" t="e">
        <f>AND('Listado General'!#REF!,"AAAAAHzc/5o=")</f>
        <v>#REF!</v>
      </c>
      <c r="EZ53" t="e">
        <f>AND('Listado General'!#REF!,"AAAAAHzc/5s=")</f>
        <v>#REF!</v>
      </c>
      <c r="FA53" t="e">
        <f>AND('Listado General'!#REF!,"AAAAAHzc/5w=")</f>
        <v>#REF!</v>
      </c>
      <c r="FB53" t="e">
        <f>AND('Listado General'!#REF!,"AAAAAHzc/50=")</f>
        <v>#REF!</v>
      </c>
      <c r="FC53" t="e">
        <f>AND('Listado General'!#REF!,"AAAAAHzc/54=")</f>
        <v>#REF!</v>
      </c>
      <c r="FD53" t="e">
        <f>AND('Listado General'!#REF!,"AAAAAHzc/58=")</f>
        <v>#REF!</v>
      </c>
      <c r="FE53" t="e">
        <f>AND('Listado General'!#REF!,"AAAAAHzc/6A=")</f>
        <v>#REF!</v>
      </c>
      <c r="FF53" t="e">
        <f>AND('Listado General'!#REF!,"AAAAAHzc/6E=")</f>
        <v>#REF!</v>
      </c>
      <c r="FG53" t="e">
        <f>AND('Listado General'!#REF!,"AAAAAHzc/6I=")</f>
        <v>#REF!</v>
      </c>
      <c r="FH53" t="e">
        <f>IF('Listado General'!#REF!,"AAAAAHzc/6M=",0)</f>
        <v>#REF!</v>
      </c>
      <c r="FI53" t="e">
        <f>AND('Listado General'!#REF!,"AAAAAHzc/6Q=")</f>
        <v>#REF!</v>
      </c>
      <c r="FJ53" t="e">
        <f>AND('Listado General'!#REF!,"AAAAAHzc/6U=")</f>
        <v>#REF!</v>
      </c>
      <c r="FK53" t="e">
        <f>AND('Listado General'!#REF!,"AAAAAHzc/6Y=")</f>
        <v>#REF!</v>
      </c>
      <c r="FL53" t="e">
        <f>AND('Listado General'!#REF!,"AAAAAHzc/6c=")</f>
        <v>#REF!</v>
      </c>
      <c r="FM53" t="e">
        <f>AND('Listado General'!#REF!,"AAAAAHzc/6g=")</f>
        <v>#REF!</v>
      </c>
      <c r="FN53" t="e">
        <f>AND('Listado General'!#REF!,"AAAAAHzc/6k=")</f>
        <v>#REF!</v>
      </c>
      <c r="FO53" t="e">
        <f>AND('Listado General'!#REF!,"AAAAAHzc/6o=")</f>
        <v>#REF!</v>
      </c>
      <c r="FP53" t="e">
        <f>AND('Listado General'!#REF!,"AAAAAHzc/6s=")</f>
        <v>#REF!</v>
      </c>
      <c r="FQ53" t="e">
        <f>AND('Listado General'!#REF!,"AAAAAHzc/6w=")</f>
        <v>#REF!</v>
      </c>
      <c r="FR53" t="e">
        <f>IF('Listado General'!#REF!,"AAAAAHzc/60=",0)</f>
        <v>#REF!</v>
      </c>
      <c r="FS53" t="e">
        <f>AND('Listado General'!#REF!,"AAAAAHzc/64=")</f>
        <v>#REF!</v>
      </c>
      <c r="FT53" t="e">
        <f>AND('Listado General'!#REF!,"AAAAAHzc/68=")</f>
        <v>#REF!</v>
      </c>
      <c r="FU53" t="e">
        <f>AND('Listado General'!#REF!,"AAAAAHzc/7A=")</f>
        <v>#REF!</v>
      </c>
      <c r="FV53" t="e">
        <f>AND('Listado General'!#REF!,"AAAAAHzc/7E=")</f>
        <v>#REF!</v>
      </c>
      <c r="FW53" t="e">
        <f>AND('Listado General'!#REF!,"AAAAAHzc/7I=")</f>
        <v>#REF!</v>
      </c>
      <c r="FX53" t="e">
        <f>AND('Listado General'!#REF!,"AAAAAHzc/7M=")</f>
        <v>#REF!</v>
      </c>
      <c r="FY53" t="e">
        <f>AND('Listado General'!#REF!,"AAAAAHzc/7Q=")</f>
        <v>#REF!</v>
      </c>
      <c r="FZ53" t="e">
        <f>AND('Listado General'!#REF!,"AAAAAHzc/7U=")</f>
        <v>#REF!</v>
      </c>
      <c r="GA53" t="e">
        <f>AND('Listado General'!#REF!,"AAAAAHzc/7Y=")</f>
        <v>#REF!</v>
      </c>
      <c r="GB53" t="e">
        <f>IF('Listado General'!#REF!,"AAAAAHzc/7c=",0)</f>
        <v>#REF!</v>
      </c>
      <c r="GC53" t="e">
        <f>AND('Listado General'!#REF!,"AAAAAHzc/7g=")</f>
        <v>#REF!</v>
      </c>
      <c r="GD53" t="e">
        <f>AND('Listado General'!#REF!,"AAAAAHzc/7k=")</f>
        <v>#REF!</v>
      </c>
      <c r="GE53" t="e">
        <f>AND('Listado General'!#REF!,"AAAAAHzc/7o=")</f>
        <v>#REF!</v>
      </c>
      <c r="GF53" t="e">
        <f>AND('Listado General'!#REF!,"AAAAAHzc/7s=")</f>
        <v>#REF!</v>
      </c>
      <c r="GG53" t="e">
        <f>AND('Listado General'!#REF!,"AAAAAHzc/7w=")</f>
        <v>#REF!</v>
      </c>
      <c r="GH53" t="e">
        <f>AND('Listado General'!#REF!,"AAAAAHzc/70=")</f>
        <v>#REF!</v>
      </c>
      <c r="GI53" t="e">
        <f>AND('Listado General'!#REF!,"AAAAAHzc/74=")</f>
        <v>#REF!</v>
      </c>
      <c r="GJ53" t="e">
        <f>AND('Listado General'!#REF!,"AAAAAHzc/78=")</f>
        <v>#REF!</v>
      </c>
      <c r="GK53" t="e">
        <f>AND('Listado General'!#REF!,"AAAAAHzc/8A=")</f>
        <v>#REF!</v>
      </c>
      <c r="GL53" t="e">
        <f>IF('Listado General'!#REF!,"AAAAAHzc/8E=",0)</f>
        <v>#REF!</v>
      </c>
      <c r="GM53" t="e">
        <f>AND('Listado General'!#REF!,"AAAAAHzc/8I=")</f>
        <v>#REF!</v>
      </c>
      <c r="GN53" t="e">
        <f>AND('Listado General'!#REF!,"AAAAAHzc/8M=")</f>
        <v>#REF!</v>
      </c>
      <c r="GO53" t="e">
        <f>AND('Listado General'!#REF!,"AAAAAHzc/8Q=")</f>
        <v>#REF!</v>
      </c>
      <c r="GP53" t="e">
        <f>AND('Listado General'!#REF!,"AAAAAHzc/8U=")</f>
        <v>#REF!</v>
      </c>
      <c r="GQ53" t="e">
        <f>AND('Listado General'!#REF!,"AAAAAHzc/8Y=")</f>
        <v>#REF!</v>
      </c>
      <c r="GR53" t="e">
        <f>AND('Listado General'!#REF!,"AAAAAHzc/8c=")</f>
        <v>#REF!</v>
      </c>
      <c r="GS53" t="e">
        <f>AND('Listado General'!#REF!,"AAAAAHzc/8g=")</f>
        <v>#REF!</v>
      </c>
      <c r="GT53" t="e">
        <f>AND('Listado General'!#REF!,"AAAAAHzc/8k=")</f>
        <v>#REF!</v>
      </c>
      <c r="GU53" t="e">
        <f>AND('Listado General'!#REF!,"AAAAAHzc/8o=")</f>
        <v>#REF!</v>
      </c>
      <c r="GV53" t="e">
        <f>IF('Listado General'!#REF!,"AAAAAHzc/8s=",0)</f>
        <v>#REF!</v>
      </c>
      <c r="GW53" t="e">
        <f>AND('Listado General'!#REF!,"AAAAAHzc/8w=")</f>
        <v>#REF!</v>
      </c>
      <c r="GX53" t="e">
        <f>AND('Listado General'!#REF!,"AAAAAHzc/80=")</f>
        <v>#REF!</v>
      </c>
      <c r="GY53" t="e">
        <f>AND('Listado General'!#REF!,"AAAAAHzc/84=")</f>
        <v>#REF!</v>
      </c>
      <c r="GZ53" t="e">
        <f>AND('Listado General'!#REF!,"AAAAAHzc/88=")</f>
        <v>#REF!</v>
      </c>
      <c r="HA53" t="e">
        <f>AND('Listado General'!#REF!,"AAAAAHzc/9A=")</f>
        <v>#REF!</v>
      </c>
      <c r="HB53" t="e">
        <f>AND('Listado General'!#REF!,"AAAAAHzc/9E=")</f>
        <v>#REF!</v>
      </c>
      <c r="HC53" t="e">
        <f>AND('Listado General'!#REF!,"AAAAAHzc/9I=")</f>
        <v>#REF!</v>
      </c>
      <c r="HD53" t="e">
        <f>AND('Listado General'!#REF!,"AAAAAHzc/9M=")</f>
        <v>#REF!</v>
      </c>
      <c r="HE53" t="e">
        <f>AND('Listado General'!#REF!,"AAAAAHzc/9Q=")</f>
        <v>#REF!</v>
      </c>
      <c r="HF53" t="e">
        <f>IF('Listado General'!#REF!,"AAAAAHzc/9U=",0)</f>
        <v>#REF!</v>
      </c>
      <c r="HG53" t="e">
        <f>AND('Listado General'!#REF!,"AAAAAHzc/9Y=")</f>
        <v>#REF!</v>
      </c>
      <c r="HH53" t="e">
        <f>AND('Listado General'!#REF!,"AAAAAHzc/9c=")</f>
        <v>#REF!</v>
      </c>
      <c r="HI53" t="e">
        <f>AND('Listado General'!#REF!,"AAAAAHzc/9g=")</f>
        <v>#REF!</v>
      </c>
      <c r="HJ53" t="e">
        <f>AND('Listado General'!#REF!,"AAAAAHzc/9k=")</f>
        <v>#REF!</v>
      </c>
      <c r="HK53" t="e">
        <f>AND('Listado General'!#REF!,"AAAAAHzc/9o=")</f>
        <v>#REF!</v>
      </c>
      <c r="HL53" t="e">
        <f>AND('Listado General'!#REF!,"AAAAAHzc/9s=")</f>
        <v>#REF!</v>
      </c>
      <c r="HM53" t="e">
        <f>AND('Listado General'!#REF!,"AAAAAHzc/9w=")</f>
        <v>#REF!</v>
      </c>
      <c r="HN53" t="e">
        <f>AND('Listado General'!#REF!,"AAAAAHzc/90=")</f>
        <v>#REF!</v>
      </c>
      <c r="HO53" t="e">
        <f>AND('Listado General'!#REF!,"AAAAAHzc/94=")</f>
        <v>#REF!</v>
      </c>
      <c r="HP53" t="e">
        <f>IF('Listado General'!#REF!,"AAAAAHzc/98=",0)</f>
        <v>#REF!</v>
      </c>
      <c r="HQ53" t="e">
        <f>AND('Listado General'!#REF!,"AAAAAHzc/+A=")</f>
        <v>#REF!</v>
      </c>
      <c r="HR53" t="e">
        <f>AND('Listado General'!#REF!,"AAAAAHzc/+E=")</f>
        <v>#REF!</v>
      </c>
      <c r="HS53" t="e">
        <f>AND('Listado General'!#REF!,"AAAAAHzc/+I=")</f>
        <v>#REF!</v>
      </c>
      <c r="HT53" t="e">
        <f>AND('Listado General'!#REF!,"AAAAAHzc/+M=")</f>
        <v>#REF!</v>
      </c>
      <c r="HU53" t="e">
        <f>AND('Listado General'!#REF!,"AAAAAHzc/+Q=")</f>
        <v>#REF!</v>
      </c>
      <c r="HV53" t="e">
        <f>AND('Listado General'!#REF!,"AAAAAHzc/+U=")</f>
        <v>#REF!</v>
      </c>
      <c r="HW53" t="e">
        <f>AND('Listado General'!#REF!,"AAAAAHzc/+Y=")</f>
        <v>#REF!</v>
      </c>
      <c r="HX53" t="e">
        <f>AND('Listado General'!#REF!,"AAAAAHzc/+c=")</f>
        <v>#REF!</v>
      </c>
      <c r="HY53" t="e">
        <f>AND('Listado General'!#REF!,"AAAAAHzc/+g=")</f>
        <v>#REF!</v>
      </c>
      <c r="HZ53" t="e">
        <f>IF('Listado General'!#REF!,"AAAAAHzc/+k=",0)</f>
        <v>#REF!</v>
      </c>
      <c r="IA53" t="e">
        <f>AND('Listado General'!#REF!,"AAAAAHzc/+o=")</f>
        <v>#REF!</v>
      </c>
      <c r="IB53" t="e">
        <f>AND('Listado General'!#REF!,"AAAAAHzc/+s=")</f>
        <v>#REF!</v>
      </c>
      <c r="IC53" t="e">
        <f>AND('Listado General'!#REF!,"AAAAAHzc/+w=")</f>
        <v>#REF!</v>
      </c>
      <c r="ID53" t="e">
        <f>AND('Listado General'!#REF!,"AAAAAHzc/+0=")</f>
        <v>#REF!</v>
      </c>
      <c r="IE53" t="e">
        <f>AND('Listado General'!#REF!,"AAAAAHzc/+4=")</f>
        <v>#REF!</v>
      </c>
      <c r="IF53" t="e">
        <f>AND('Listado General'!#REF!,"AAAAAHzc/+8=")</f>
        <v>#REF!</v>
      </c>
      <c r="IG53" t="e">
        <f>AND('Listado General'!#REF!,"AAAAAHzc//A=")</f>
        <v>#REF!</v>
      </c>
      <c r="IH53" t="e">
        <f>AND('Listado General'!#REF!,"AAAAAHzc//E=")</f>
        <v>#REF!</v>
      </c>
      <c r="II53" t="e">
        <f>AND('Listado General'!#REF!,"AAAAAHzc//I=")</f>
        <v>#REF!</v>
      </c>
      <c r="IJ53" t="e">
        <f>IF('Listado General'!#REF!,"AAAAAHzc//M=",0)</f>
        <v>#REF!</v>
      </c>
      <c r="IK53" t="e">
        <f>AND('Listado General'!#REF!,"AAAAAHzc//Q=")</f>
        <v>#REF!</v>
      </c>
      <c r="IL53" t="e">
        <f>AND('Listado General'!#REF!,"AAAAAHzc//U=")</f>
        <v>#REF!</v>
      </c>
      <c r="IM53" t="e">
        <f>AND('Listado General'!#REF!,"AAAAAHzc//Y=")</f>
        <v>#REF!</v>
      </c>
      <c r="IN53" t="e">
        <f>AND('Listado General'!#REF!,"AAAAAHzc//c=")</f>
        <v>#REF!</v>
      </c>
      <c r="IO53" t="e">
        <f>AND('Listado General'!#REF!,"AAAAAHzc//g=")</f>
        <v>#REF!</v>
      </c>
      <c r="IP53" t="e">
        <f>AND('Listado General'!#REF!,"AAAAAHzc//k=")</f>
        <v>#REF!</v>
      </c>
      <c r="IQ53" t="e">
        <f>AND('Listado General'!#REF!,"AAAAAHzc//o=")</f>
        <v>#REF!</v>
      </c>
      <c r="IR53" t="e">
        <f>AND('Listado General'!#REF!,"AAAAAHzc//s=")</f>
        <v>#REF!</v>
      </c>
      <c r="IS53" t="e">
        <f>AND('Listado General'!#REF!,"AAAAAHzc//w=")</f>
        <v>#REF!</v>
      </c>
      <c r="IT53" t="e">
        <f>IF('Listado General'!#REF!,"AAAAAHzc//0=",0)</f>
        <v>#REF!</v>
      </c>
      <c r="IU53" t="e">
        <f>AND('Listado General'!#REF!,"AAAAAHzc//4=")</f>
        <v>#REF!</v>
      </c>
      <c r="IV53" t="e">
        <f>AND('Listado General'!#REF!,"AAAAAHzc//8=")</f>
        <v>#REF!</v>
      </c>
    </row>
    <row r="54" spans="1:256" ht="12.75">
      <c r="A54" t="e">
        <f>AND('Listado General'!#REF!,"AAAAAH3zWQA=")</f>
        <v>#REF!</v>
      </c>
      <c r="B54" t="e">
        <f>AND('Listado General'!#REF!,"AAAAAH3zWQE=")</f>
        <v>#REF!</v>
      </c>
      <c r="C54" t="e">
        <f>AND('Listado General'!#REF!,"AAAAAH3zWQI=")</f>
        <v>#REF!</v>
      </c>
      <c r="D54" t="e">
        <f>AND('Listado General'!#REF!,"AAAAAH3zWQM=")</f>
        <v>#REF!</v>
      </c>
      <c r="E54" t="e">
        <f>AND('Listado General'!#REF!,"AAAAAH3zWQQ=")</f>
        <v>#REF!</v>
      </c>
      <c r="F54" t="e">
        <f>AND('Listado General'!#REF!,"AAAAAH3zWQU=")</f>
        <v>#REF!</v>
      </c>
      <c r="G54" t="e">
        <f>AND('Listado General'!#REF!,"AAAAAH3zWQY=")</f>
        <v>#REF!</v>
      </c>
      <c r="H54" t="e">
        <f>IF('Listado General'!#REF!,"AAAAAH3zWQc=",0)</f>
        <v>#REF!</v>
      </c>
      <c r="I54" t="e">
        <f>AND('Listado General'!#REF!,"AAAAAH3zWQg=")</f>
        <v>#REF!</v>
      </c>
      <c r="J54" t="e">
        <f>AND('Listado General'!#REF!,"AAAAAH3zWQk=")</f>
        <v>#REF!</v>
      </c>
      <c r="K54" t="e">
        <f>AND('Listado General'!#REF!,"AAAAAH3zWQo=")</f>
        <v>#REF!</v>
      </c>
      <c r="L54" t="e">
        <f>AND('Listado General'!#REF!,"AAAAAH3zWQs=")</f>
        <v>#REF!</v>
      </c>
      <c r="M54" t="e">
        <f>AND('Listado General'!#REF!,"AAAAAH3zWQw=")</f>
        <v>#REF!</v>
      </c>
      <c r="N54" t="e">
        <f>AND('Listado General'!#REF!,"AAAAAH3zWQ0=")</f>
        <v>#REF!</v>
      </c>
      <c r="O54" t="e">
        <f>AND('Listado General'!#REF!,"AAAAAH3zWQ4=")</f>
        <v>#REF!</v>
      </c>
      <c r="P54" t="e">
        <f>AND('Listado General'!#REF!,"AAAAAH3zWQ8=")</f>
        <v>#REF!</v>
      </c>
      <c r="Q54" t="e">
        <f>AND('Listado General'!#REF!,"AAAAAH3zWRA=")</f>
        <v>#REF!</v>
      </c>
      <c r="R54" t="e">
        <f>IF('Listado General'!#REF!,"AAAAAH3zWRE=",0)</f>
        <v>#REF!</v>
      </c>
      <c r="S54" t="e">
        <f>AND('Listado General'!#REF!,"AAAAAH3zWRI=")</f>
        <v>#REF!</v>
      </c>
      <c r="T54" t="e">
        <f>AND('Listado General'!#REF!,"AAAAAH3zWRM=")</f>
        <v>#REF!</v>
      </c>
      <c r="U54" t="e">
        <f>AND('Listado General'!#REF!,"AAAAAH3zWRQ=")</f>
        <v>#REF!</v>
      </c>
      <c r="V54" t="e">
        <f>AND('Listado General'!#REF!,"AAAAAH3zWRU=")</f>
        <v>#REF!</v>
      </c>
      <c r="W54" t="e">
        <f>AND('Listado General'!#REF!,"AAAAAH3zWRY=")</f>
        <v>#REF!</v>
      </c>
      <c r="X54" t="e">
        <f>AND('Listado General'!#REF!,"AAAAAH3zWRc=")</f>
        <v>#REF!</v>
      </c>
      <c r="Y54" t="e">
        <f>AND('Listado General'!#REF!,"AAAAAH3zWRg=")</f>
        <v>#REF!</v>
      </c>
      <c r="Z54" t="e">
        <f>AND('Listado General'!#REF!,"AAAAAH3zWRk=")</f>
        <v>#REF!</v>
      </c>
      <c r="AA54" t="e">
        <f>AND('Listado General'!#REF!,"AAAAAH3zWRo=")</f>
        <v>#REF!</v>
      </c>
      <c r="AB54" t="e">
        <f>IF('Listado General'!#REF!,"AAAAAH3zWRs=",0)</f>
        <v>#REF!</v>
      </c>
      <c r="AC54" t="e">
        <f>AND('Listado General'!#REF!,"AAAAAH3zWRw=")</f>
        <v>#REF!</v>
      </c>
      <c r="AD54" t="e">
        <f>AND('Listado General'!#REF!,"AAAAAH3zWR0=")</f>
        <v>#REF!</v>
      </c>
      <c r="AE54" t="e">
        <f>AND('Listado General'!#REF!,"AAAAAH3zWR4=")</f>
        <v>#REF!</v>
      </c>
      <c r="AF54" t="e">
        <f>AND('Listado General'!#REF!,"AAAAAH3zWR8=")</f>
        <v>#REF!</v>
      </c>
      <c r="AG54" t="e">
        <f>AND('Listado General'!#REF!,"AAAAAH3zWSA=")</f>
        <v>#REF!</v>
      </c>
      <c r="AH54" t="e">
        <f>AND('Listado General'!#REF!,"AAAAAH3zWSE=")</f>
        <v>#REF!</v>
      </c>
      <c r="AI54" t="e">
        <f>AND('Listado General'!#REF!,"AAAAAH3zWSI=")</f>
        <v>#REF!</v>
      </c>
      <c r="AJ54" t="e">
        <f>AND('Listado General'!#REF!,"AAAAAH3zWSM=")</f>
        <v>#REF!</v>
      </c>
      <c r="AK54" t="e">
        <f>AND('Listado General'!#REF!,"AAAAAH3zWSQ=")</f>
        <v>#REF!</v>
      </c>
      <c r="AL54" t="e">
        <f>IF('Listado General'!#REF!,"AAAAAH3zWSU=",0)</f>
        <v>#REF!</v>
      </c>
      <c r="AM54" t="e">
        <f>AND('Listado General'!#REF!,"AAAAAH3zWSY=")</f>
        <v>#REF!</v>
      </c>
      <c r="AN54" t="e">
        <f>AND('Listado General'!#REF!,"AAAAAH3zWSc=")</f>
        <v>#REF!</v>
      </c>
      <c r="AO54" t="e">
        <f>AND('Listado General'!#REF!,"AAAAAH3zWSg=")</f>
        <v>#REF!</v>
      </c>
      <c r="AP54" t="e">
        <f>AND('Listado General'!#REF!,"AAAAAH3zWSk=")</f>
        <v>#REF!</v>
      </c>
      <c r="AQ54" t="e">
        <f>AND('Listado General'!#REF!,"AAAAAH3zWSo=")</f>
        <v>#REF!</v>
      </c>
      <c r="AR54" t="e">
        <f>AND('Listado General'!#REF!,"AAAAAH3zWSs=")</f>
        <v>#REF!</v>
      </c>
      <c r="AS54" t="e">
        <f>AND('Listado General'!#REF!,"AAAAAH3zWSw=")</f>
        <v>#REF!</v>
      </c>
      <c r="AT54" t="e">
        <f>AND('Listado General'!#REF!,"AAAAAH3zWS0=")</f>
        <v>#REF!</v>
      </c>
      <c r="AU54" t="e">
        <f>AND('Listado General'!#REF!,"AAAAAH3zWS4=")</f>
        <v>#REF!</v>
      </c>
      <c r="AV54" t="e">
        <f>IF('Listado General'!#REF!,"AAAAAH3zWS8=",0)</f>
        <v>#REF!</v>
      </c>
      <c r="AW54" t="e">
        <f>AND('Listado General'!#REF!,"AAAAAH3zWTA=")</f>
        <v>#REF!</v>
      </c>
      <c r="AX54" t="e">
        <f>AND('Listado General'!#REF!,"AAAAAH3zWTE=")</f>
        <v>#REF!</v>
      </c>
      <c r="AY54" t="e">
        <f>AND('Listado General'!#REF!,"AAAAAH3zWTI=")</f>
        <v>#REF!</v>
      </c>
      <c r="AZ54" t="e">
        <f>AND('Listado General'!#REF!,"AAAAAH3zWTM=")</f>
        <v>#REF!</v>
      </c>
      <c r="BA54" t="e">
        <f>AND('Listado General'!#REF!,"AAAAAH3zWTQ=")</f>
        <v>#REF!</v>
      </c>
      <c r="BB54" t="e">
        <f>AND('Listado General'!#REF!,"AAAAAH3zWTU=")</f>
        <v>#REF!</v>
      </c>
      <c r="BC54" t="e">
        <f>AND('Listado General'!#REF!,"AAAAAH3zWTY=")</f>
        <v>#REF!</v>
      </c>
      <c r="BD54" t="e">
        <f>AND('Listado General'!#REF!,"AAAAAH3zWTc=")</f>
        <v>#REF!</v>
      </c>
      <c r="BE54" t="e">
        <f>AND('Listado General'!#REF!,"AAAAAH3zWTg=")</f>
        <v>#REF!</v>
      </c>
      <c r="BF54" t="e">
        <f>IF('Listado General'!#REF!,"AAAAAH3zWTk=",0)</f>
        <v>#REF!</v>
      </c>
      <c r="BG54" t="e">
        <f>AND('Listado General'!#REF!,"AAAAAH3zWTo=")</f>
        <v>#REF!</v>
      </c>
      <c r="BH54" t="e">
        <f>AND('Listado General'!#REF!,"AAAAAH3zWTs=")</f>
        <v>#REF!</v>
      </c>
      <c r="BI54" t="e">
        <f>AND('Listado General'!#REF!,"AAAAAH3zWTw=")</f>
        <v>#REF!</v>
      </c>
      <c r="BJ54" t="e">
        <f>AND('Listado General'!#REF!,"AAAAAH3zWT0=")</f>
        <v>#REF!</v>
      </c>
      <c r="BK54" t="e">
        <f>AND('Listado General'!#REF!,"AAAAAH3zWT4=")</f>
        <v>#REF!</v>
      </c>
      <c r="BL54" t="e">
        <f>AND('Listado General'!#REF!,"AAAAAH3zWT8=")</f>
        <v>#REF!</v>
      </c>
      <c r="BM54" t="e">
        <f>AND('Listado General'!#REF!,"AAAAAH3zWUA=")</f>
        <v>#REF!</v>
      </c>
      <c r="BN54" t="e">
        <f>AND('Listado General'!#REF!,"AAAAAH3zWUE=")</f>
        <v>#REF!</v>
      </c>
      <c r="BO54" t="e">
        <f>AND('Listado General'!#REF!,"AAAAAH3zWUI=")</f>
        <v>#REF!</v>
      </c>
      <c r="BP54" t="e">
        <f>IF('Listado General'!#REF!,"AAAAAH3zWUM=",0)</f>
        <v>#REF!</v>
      </c>
      <c r="BQ54" t="e">
        <f>AND('Listado General'!#REF!,"AAAAAH3zWUQ=")</f>
        <v>#REF!</v>
      </c>
      <c r="BR54" t="e">
        <f>AND('Listado General'!#REF!,"AAAAAH3zWUU=")</f>
        <v>#REF!</v>
      </c>
      <c r="BS54" t="e">
        <f>AND('Listado General'!#REF!,"AAAAAH3zWUY=")</f>
        <v>#REF!</v>
      </c>
      <c r="BT54" t="e">
        <f>AND('Listado General'!#REF!,"AAAAAH3zWUc=")</f>
        <v>#REF!</v>
      </c>
      <c r="BU54" t="e">
        <f>AND('Listado General'!#REF!,"AAAAAH3zWUg=")</f>
        <v>#REF!</v>
      </c>
      <c r="BV54" t="e">
        <f>AND('Listado General'!#REF!,"AAAAAH3zWUk=")</f>
        <v>#REF!</v>
      </c>
      <c r="BW54" t="e">
        <f>AND('Listado General'!#REF!,"AAAAAH3zWUo=")</f>
        <v>#REF!</v>
      </c>
      <c r="BX54" t="e">
        <f>AND('Listado General'!#REF!,"AAAAAH3zWUs=")</f>
        <v>#REF!</v>
      </c>
      <c r="BY54" t="e">
        <f>AND('Listado General'!#REF!,"AAAAAH3zWUw=")</f>
        <v>#REF!</v>
      </c>
      <c r="BZ54" t="e">
        <f>IF('Listado General'!#REF!,"AAAAAH3zWU0=",0)</f>
        <v>#REF!</v>
      </c>
      <c r="CA54" t="e">
        <f>AND('Listado General'!#REF!,"AAAAAH3zWU4=")</f>
        <v>#REF!</v>
      </c>
      <c r="CB54" t="e">
        <f>AND('Listado General'!#REF!,"AAAAAH3zWU8=")</f>
        <v>#REF!</v>
      </c>
      <c r="CC54" t="e">
        <f>AND('Listado General'!#REF!,"AAAAAH3zWVA=")</f>
        <v>#REF!</v>
      </c>
      <c r="CD54" t="e">
        <f>AND('Listado General'!#REF!,"AAAAAH3zWVE=")</f>
        <v>#REF!</v>
      </c>
      <c r="CE54" t="e">
        <f>AND('Listado General'!#REF!,"AAAAAH3zWVI=")</f>
        <v>#REF!</v>
      </c>
      <c r="CF54" t="e">
        <f>AND('Listado General'!#REF!,"AAAAAH3zWVM=")</f>
        <v>#REF!</v>
      </c>
      <c r="CG54" t="e">
        <f>AND('Listado General'!#REF!,"AAAAAH3zWVQ=")</f>
        <v>#REF!</v>
      </c>
      <c r="CH54" t="e">
        <f>AND('Listado General'!#REF!,"AAAAAH3zWVU=")</f>
        <v>#REF!</v>
      </c>
      <c r="CI54" t="e">
        <f>AND('Listado General'!#REF!,"AAAAAH3zWVY=")</f>
        <v>#REF!</v>
      </c>
      <c r="CJ54" t="e">
        <f>IF('Listado General'!#REF!,"AAAAAH3zWVc=",0)</f>
        <v>#REF!</v>
      </c>
      <c r="CK54" t="e">
        <f>AND('Listado General'!#REF!,"AAAAAH3zWVg=")</f>
        <v>#REF!</v>
      </c>
      <c r="CL54" t="e">
        <f>AND('Listado General'!#REF!,"AAAAAH3zWVk=")</f>
        <v>#REF!</v>
      </c>
      <c r="CM54" t="e">
        <f>AND('Listado General'!#REF!,"AAAAAH3zWVo=")</f>
        <v>#REF!</v>
      </c>
      <c r="CN54" t="e">
        <f>AND('Listado General'!#REF!,"AAAAAH3zWVs=")</f>
        <v>#REF!</v>
      </c>
      <c r="CO54" t="e">
        <f>AND('Listado General'!#REF!,"AAAAAH3zWVw=")</f>
        <v>#REF!</v>
      </c>
      <c r="CP54" t="e">
        <f>AND('Listado General'!#REF!,"AAAAAH3zWV0=")</f>
        <v>#REF!</v>
      </c>
      <c r="CQ54" t="e">
        <f>AND('Listado General'!#REF!,"AAAAAH3zWV4=")</f>
        <v>#REF!</v>
      </c>
      <c r="CR54" t="e">
        <f>AND('Listado General'!#REF!,"AAAAAH3zWV8=")</f>
        <v>#REF!</v>
      </c>
      <c r="CS54" t="e">
        <f>AND('Listado General'!#REF!,"AAAAAH3zWWA=")</f>
        <v>#REF!</v>
      </c>
      <c r="CT54" t="e">
        <f>IF('Listado General'!#REF!,"AAAAAH3zWWE=",0)</f>
        <v>#REF!</v>
      </c>
      <c r="CU54" t="e">
        <f>AND('Listado General'!#REF!,"AAAAAH3zWWI=")</f>
        <v>#REF!</v>
      </c>
      <c r="CV54" t="e">
        <f>AND('Listado General'!#REF!,"AAAAAH3zWWM=")</f>
        <v>#REF!</v>
      </c>
      <c r="CW54" t="e">
        <f>AND('Listado General'!#REF!,"AAAAAH3zWWQ=")</f>
        <v>#REF!</v>
      </c>
      <c r="CX54" t="e">
        <f>AND('Listado General'!#REF!,"AAAAAH3zWWU=")</f>
        <v>#REF!</v>
      </c>
      <c r="CY54" t="e">
        <f>AND('Listado General'!#REF!,"AAAAAH3zWWY=")</f>
        <v>#REF!</v>
      </c>
      <c r="CZ54" t="e">
        <f>AND('Listado General'!#REF!,"AAAAAH3zWWc=")</f>
        <v>#REF!</v>
      </c>
      <c r="DA54" t="e">
        <f>AND('Listado General'!#REF!,"AAAAAH3zWWg=")</f>
        <v>#REF!</v>
      </c>
      <c r="DB54" t="e">
        <f>AND('Listado General'!#REF!,"AAAAAH3zWWk=")</f>
        <v>#REF!</v>
      </c>
      <c r="DC54" t="e">
        <f>AND('Listado General'!#REF!,"AAAAAH3zWWo=")</f>
        <v>#REF!</v>
      </c>
      <c r="DD54" t="e">
        <f>IF('Listado General'!#REF!,"AAAAAH3zWWs=",0)</f>
        <v>#REF!</v>
      </c>
      <c r="DE54" t="e">
        <f>AND('Listado General'!#REF!,"AAAAAH3zWWw=")</f>
        <v>#REF!</v>
      </c>
      <c r="DF54" t="e">
        <f>AND('Listado General'!#REF!,"AAAAAH3zWW0=")</f>
        <v>#REF!</v>
      </c>
      <c r="DG54" t="e">
        <f>AND('Listado General'!#REF!,"AAAAAH3zWW4=")</f>
        <v>#REF!</v>
      </c>
      <c r="DH54" t="e">
        <f>AND('Listado General'!#REF!,"AAAAAH3zWW8=")</f>
        <v>#REF!</v>
      </c>
      <c r="DI54" t="e">
        <f>AND('Listado General'!#REF!,"AAAAAH3zWXA=")</f>
        <v>#REF!</v>
      </c>
      <c r="DJ54" t="e">
        <f>AND('Listado General'!#REF!,"AAAAAH3zWXE=")</f>
        <v>#REF!</v>
      </c>
      <c r="DK54" t="e">
        <f>AND('Listado General'!#REF!,"AAAAAH3zWXI=")</f>
        <v>#REF!</v>
      </c>
      <c r="DL54" t="e">
        <f>AND('Listado General'!#REF!,"AAAAAH3zWXM=")</f>
        <v>#REF!</v>
      </c>
      <c r="DM54" t="e">
        <f>AND('Listado General'!#REF!,"AAAAAH3zWXQ=")</f>
        <v>#REF!</v>
      </c>
      <c r="DN54" t="e">
        <f>IF('Listado General'!#REF!,"AAAAAH3zWXU=",0)</f>
        <v>#REF!</v>
      </c>
      <c r="DO54" t="e">
        <f>AND('Listado General'!#REF!,"AAAAAH3zWXY=")</f>
        <v>#REF!</v>
      </c>
      <c r="DP54" t="e">
        <f>AND('Listado General'!#REF!,"AAAAAH3zWXc=")</f>
        <v>#REF!</v>
      </c>
      <c r="DQ54" t="e">
        <f>AND('Listado General'!#REF!,"AAAAAH3zWXg=")</f>
        <v>#REF!</v>
      </c>
      <c r="DR54" t="e">
        <f>AND('Listado General'!#REF!,"AAAAAH3zWXk=")</f>
        <v>#REF!</v>
      </c>
      <c r="DS54" t="e">
        <f>AND('Listado General'!#REF!,"AAAAAH3zWXo=")</f>
        <v>#REF!</v>
      </c>
      <c r="DT54" t="e">
        <f>AND('Listado General'!#REF!,"AAAAAH3zWXs=")</f>
        <v>#REF!</v>
      </c>
      <c r="DU54" t="e">
        <f>AND('Listado General'!#REF!,"AAAAAH3zWXw=")</f>
        <v>#REF!</v>
      </c>
      <c r="DV54" t="e">
        <f>AND('Listado General'!#REF!,"AAAAAH3zWX0=")</f>
        <v>#REF!</v>
      </c>
      <c r="DW54" t="e">
        <f>AND('Listado General'!#REF!,"AAAAAH3zWX4=")</f>
        <v>#REF!</v>
      </c>
      <c r="DX54" t="e">
        <f>IF('Listado General'!#REF!,"AAAAAH3zWX8=",0)</f>
        <v>#REF!</v>
      </c>
      <c r="DY54" t="e">
        <f>AND('Listado General'!#REF!,"AAAAAH3zWYA=")</f>
        <v>#REF!</v>
      </c>
      <c r="DZ54" t="e">
        <f>AND('Listado General'!#REF!,"AAAAAH3zWYE=")</f>
        <v>#REF!</v>
      </c>
      <c r="EA54" t="e">
        <f>AND('Listado General'!#REF!,"AAAAAH3zWYI=")</f>
        <v>#REF!</v>
      </c>
      <c r="EB54" t="e">
        <f>AND('Listado General'!#REF!,"AAAAAH3zWYM=")</f>
        <v>#REF!</v>
      </c>
      <c r="EC54" t="e">
        <f>AND('Listado General'!#REF!,"AAAAAH3zWYQ=")</f>
        <v>#REF!</v>
      </c>
      <c r="ED54" t="e">
        <f>AND('Listado General'!#REF!,"AAAAAH3zWYU=")</f>
        <v>#REF!</v>
      </c>
      <c r="EE54" t="e">
        <f>AND('Listado General'!#REF!,"AAAAAH3zWYY=")</f>
        <v>#REF!</v>
      </c>
      <c r="EF54" t="e">
        <f>AND('Listado General'!#REF!,"AAAAAH3zWYc=")</f>
        <v>#REF!</v>
      </c>
      <c r="EG54" t="e">
        <f>AND('Listado General'!#REF!,"AAAAAH3zWYg=")</f>
        <v>#REF!</v>
      </c>
      <c r="EH54" t="e">
        <f>IF('Listado General'!#REF!,"AAAAAH3zWYk=",0)</f>
        <v>#REF!</v>
      </c>
      <c r="EI54" t="e">
        <f>AND('Listado General'!#REF!,"AAAAAH3zWYo=")</f>
        <v>#REF!</v>
      </c>
      <c r="EJ54" t="e">
        <f>AND('Listado General'!#REF!,"AAAAAH3zWYs=")</f>
        <v>#REF!</v>
      </c>
      <c r="EK54" t="e">
        <f>AND('Listado General'!#REF!,"AAAAAH3zWYw=")</f>
        <v>#REF!</v>
      </c>
      <c r="EL54" t="e">
        <f>AND('Listado General'!#REF!,"AAAAAH3zWY0=")</f>
        <v>#REF!</v>
      </c>
      <c r="EM54" t="e">
        <f>AND('Listado General'!#REF!,"AAAAAH3zWY4=")</f>
        <v>#REF!</v>
      </c>
      <c r="EN54" t="e">
        <f>AND('Listado General'!#REF!,"AAAAAH3zWY8=")</f>
        <v>#REF!</v>
      </c>
      <c r="EO54" t="e">
        <f>AND('Listado General'!#REF!,"AAAAAH3zWZA=")</f>
        <v>#REF!</v>
      </c>
      <c r="EP54" t="e">
        <f>AND('Listado General'!#REF!,"AAAAAH3zWZE=")</f>
        <v>#REF!</v>
      </c>
      <c r="EQ54" t="e">
        <f>AND('Listado General'!#REF!,"AAAAAH3zWZI=")</f>
        <v>#REF!</v>
      </c>
      <c r="ER54" t="e">
        <f>IF('Listado General'!#REF!,"AAAAAH3zWZM=",0)</f>
        <v>#REF!</v>
      </c>
      <c r="ES54" t="e">
        <f>AND('Listado General'!#REF!,"AAAAAH3zWZQ=")</f>
        <v>#REF!</v>
      </c>
      <c r="ET54" t="e">
        <f>AND('Listado General'!#REF!,"AAAAAH3zWZU=")</f>
        <v>#REF!</v>
      </c>
      <c r="EU54" t="e">
        <f>AND('Listado General'!#REF!,"AAAAAH3zWZY=")</f>
        <v>#REF!</v>
      </c>
      <c r="EV54" t="e">
        <f>AND('Listado General'!#REF!,"AAAAAH3zWZc=")</f>
        <v>#REF!</v>
      </c>
      <c r="EW54" t="e">
        <f>AND('Listado General'!#REF!,"AAAAAH3zWZg=")</f>
        <v>#REF!</v>
      </c>
      <c r="EX54" t="e">
        <f>AND('Listado General'!#REF!,"AAAAAH3zWZk=")</f>
        <v>#REF!</v>
      </c>
      <c r="EY54" t="e">
        <f>AND('Listado General'!#REF!,"AAAAAH3zWZo=")</f>
        <v>#REF!</v>
      </c>
      <c r="EZ54" t="e">
        <f>AND('Listado General'!#REF!,"AAAAAH3zWZs=")</f>
        <v>#REF!</v>
      </c>
      <c r="FA54" t="e">
        <f>AND('Listado General'!#REF!,"AAAAAH3zWZw=")</f>
        <v>#REF!</v>
      </c>
      <c r="FB54" t="e">
        <f>IF('Listado General'!#REF!,"AAAAAH3zWZ0=",0)</f>
        <v>#REF!</v>
      </c>
      <c r="FC54" t="e">
        <f>AND('Listado General'!#REF!,"AAAAAH3zWZ4=")</f>
        <v>#REF!</v>
      </c>
      <c r="FD54" t="e">
        <f>AND('Listado General'!#REF!,"AAAAAH3zWZ8=")</f>
        <v>#REF!</v>
      </c>
      <c r="FE54" t="e">
        <f>AND('Listado General'!#REF!,"AAAAAH3zWaA=")</f>
        <v>#REF!</v>
      </c>
      <c r="FF54" t="e">
        <f>AND('Listado General'!#REF!,"AAAAAH3zWaE=")</f>
        <v>#REF!</v>
      </c>
      <c r="FG54" t="e">
        <f>AND('Listado General'!#REF!,"AAAAAH3zWaI=")</f>
        <v>#REF!</v>
      </c>
      <c r="FH54" t="e">
        <f>AND('Listado General'!#REF!,"AAAAAH3zWaM=")</f>
        <v>#REF!</v>
      </c>
      <c r="FI54" t="e">
        <f>AND('Listado General'!#REF!,"AAAAAH3zWaQ=")</f>
        <v>#REF!</v>
      </c>
      <c r="FJ54" t="e">
        <f>AND('Listado General'!#REF!,"AAAAAH3zWaU=")</f>
        <v>#REF!</v>
      </c>
      <c r="FK54" t="e">
        <f>AND('Listado General'!#REF!,"AAAAAH3zWaY=")</f>
        <v>#REF!</v>
      </c>
      <c r="FL54" t="e">
        <f>IF('Listado General'!#REF!,"AAAAAH3zWac=",0)</f>
        <v>#REF!</v>
      </c>
      <c r="FM54" t="e">
        <f>AND('Listado General'!#REF!,"AAAAAH3zWag=")</f>
        <v>#REF!</v>
      </c>
      <c r="FN54" t="e">
        <f>AND('Listado General'!#REF!,"AAAAAH3zWak=")</f>
        <v>#REF!</v>
      </c>
      <c r="FO54" t="e">
        <f>AND('Listado General'!#REF!,"AAAAAH3zWao=")</f>
        <v>#REF!</v>
      </c>
      <c r="FP54" t="e">
        <f>AND('Listado General'!#REF!,"AAAAAH3zWas=")</f>
        <v>#REF!</v>
      </c>
      <c r="FQ54" t="e">
        <f>AND('Listado General'!#REF!,"AAAAAH3zWaw=")</f>
        <v>#REF!</v>
      </c>
      <c r="FR54" t="e">
        <f>AND('Listado General'!#REF!,"AAAAAH3zWa0=")</f>
        <v>#REF!</v>
      </c>
      <c r="FS54" t="e">
        <f>AND('Listado General'!#REF!,"AAAAAH3zWa4=")</f>
        <v>#REF!</v>
      </c>
      <c r="FT54" t="e">
        <f>AND('Listado General'!#REF!,"AAAAAH3zWa8=")</f>
        <v>#REF!</v>
      </c>
      <c r="FU54" t="e">
        <f>AND('Listado General'!#REF!,"AAAAAH3zWbA=")</f>
        <v>#REF!</v>
      </c>
      <c r="FV54" t="e">
        <f>IF('Listado General'!#REF!,"AAAAAH3zWbE=",0)</f>
        <v>#REF!</v>
      </c>
      <c r="FW54" t="e">
        <f>AND('Listado General'!#REF!,"AAAAAH3zWbI=")</f>
        <v>#REF!</v>
      </c>
      <c r="FX54" t="e">
        <f>AND('Listado General'!#REF!,"AAAAAH3zWbM=")</f>
        <v>#REF!</v>
      </c>
      <c r="FY54" t="e">
        <f>AND('Listado General'!#REF!,"AAAAAH3zWbQ=")</f>
        <v>#REF!</v>
      </c>
      <c r="FZ54" t="e">
        <f>AND('Listado General'!#REF!,"AAAAAH3zWbU=")</f>
        <v>#REF!</v>
      </c>
      <c r="GA54" t="e">
        <f>AND('Listado General'!#REF!,"AAAAAH3zWbY=")</f>
        <v>#REF!</v>
      </c>
      <c r="GB54" t="e">
        <f>AND('Listado General'!#REF!,"AAAAAH3zWbc=")</f>
        <v>#REF!</v>
      </c>
      <c r="GC54" t="e">
        <f>AND('Listado General'!#REF!,"AAAAAH3zWbg=")</f>
        <v>#REF!</v>
      </c>
      <c r="GD54" t="e">
        <f>AND('Listado General'!#REF!,"AAAAAH3zWbk=")</f>
        <v>#REF!</v>
      </c>
      <c r="GE54" t="e">
        <f>AND('Listado General'!#REF!,"AAAAAH3zWbo=")</f>
        <v>#REF!</v>
      </c>
      <c r="GF54" t="e">
        <f>IF('Listado General'!#REF!,"AAAAAH3zWbs=",0)</f>
        <v>#REF!</v>
      </c>
      <c r="GG54" t="e">
        <f>AND('Listado General'!#REF!,"AAAAAH3zWbw=")</f>
        <v>#REF!</v>
      </c>
      <c r="GH54" t="e">
        <f>AND('Listado General'!#REF!,"AAAAAH3zWb0=")</f>
        <v>#REF!</v>
      </c>
      <c r="GI54" t="e">
        <f>AND('Listado General'!#REF!,"AAAAAH3zWb4=")</f>
        <v>#REF!</v>
      </c>
      <c r="GJ54" t="e">
        <f>AND('Listado General'!#REF!,"AAAAAH3zWb8=")</f>
        <v>#REF!</v>
      </c>
      <c r="GK54" t="e">
        <f>AND('Listado General'!#REF!,"AAAAAH3zWcA=")</f>
        <v>#REF!</v>
      </c>
      <c r="GL54" t="e">
        <f>AND('Listado General'!#REF!,"AAAAAH3zWcE=")</f>
        <v>#REF!</v>
      </c>
      <c r="GM54" t="e">
        <f>AND('Listado General'!#REF!,"AAAAAH3zWcI=")</f>
        <v>#REF!</v>
      </c>
      <c r="GN54" t="e">
        <f>AND('Listado General'!#REF!,"AAAAAH3zWcM=")</f>
        <v>#REF!</v>
      </c>
      <c r="GO54" t="e">
        <f>AND('Listado General'!#REF!,"AAAAAH3zWcQ=")</f>
        <v>#REF!</v>
      </c>
      <c r="GP54" t="e">
        <f>IF('Listado General'!#REF!,"AAAAAH3zWcU=",0)</f>
        <v>#REF!</v>
      </c>
      <c r="GQ54" t="e">
        <f>AND('Listado General'!#REF!,"AAAAAH3zWcY=")</f>
        <v>#REF!</v>
      </c>
      <c r="GR54" t="e">
        <f>AND('Listado General'!#REF!,"AAAAAH3zWcc=")</f>
        <v>#REF!</v>
      </c>
      <c r="GS54" t="e">
        <f>AND('Listado General'!#REF!,"AAAAAH3zWcg=")</f>
        <v>#REF!</v>
      </c>
      <c r="GT54" t="e">
        <f>AND('Listado General'!#REF!,"AAAAAH3zWck=")</f>
        <v>#REF!</v>
      </c>
      <c r="GU54" t="e">
        <f>AND('Listado General'!#REF!,"AAAAAH3zWco=")</f>
        <v>#REF!</v>
      </c>
      <c r="GV54" t="e">
        <f>AND('Listado General'!#REF!,"AAAAAH3zWcs=")</f>
        <v>#REF!</v>
      </c>
      <c r="GW54" t="e">
        <f>AND('Listado General'!#REF!,"AAAAAH3zWcw=")</f>
        <v>#REF!</v>
      </c>
      <c r="GX54" t="e">
        <f>AND('Listado General'!#REF!,"AAAAAH3zWc0=")</f>
        <v>#REF!</v>
      </c>
      <c r="GY54" t="e">
        <f>AND('Listado General'!#REF!,"AAAAAH3zWc4=")</f>
        <v>#REF!</v>
      </c>
      <c r="GZ54" t="e">
        <f>IF('Listado General'!#REF!,"AAAAAH3zWc8=",0)</f>
        <v>#REF!</v>
      </c>
      <c r="HA54" t="e">
        <f>AND('Listado General'!#REF!,"AAAAAH3zWdA=")</f>
        <v>#REF!</v>
      </c>
      <c r="HB54" t="e">
        <f>AND('Listado General'!#REF!,"AAAAAH3zWdE=")</f>
        <v>#REF!</v>
      </c>
      <c r="HC54" t="e">
        <f>AND('Listado General'!#REF!,"AAAAAH3zWdI=")</f>
        <v>#REF!</v>
      </c>
      <c r="HD54" t="e">
        <f>AND('Listado General'!#REF!,"AAAAAH3zWdM=")</f>
        <v>#REF!</v>
      </c>
      <c r="HE54" t="e">
        <f>AND('Listado General'!#REF!,"AAAAAH3zWdQ=")</f>
        <v>#REF!</v>
      </c>
      <c r="HF54" t="e">
        <f>AND('Listado General'!#REF!,"AAAAAH3zWdU=")</f>
        <v>#REF!</v>
      </c>
      <c r="HG54" t="e">
        <f>AND('Listado General'!#REF!,"AAAAAH3zWdY=")</f>
        <v>#REF!</v>
      </c>
      <c r="HH54" t="e">
        <f>AND('Listado General'!#REF!,"AAAAAH3zWdc=")</f>
        <v>#REF!</v>
      </c>
      <c r="HI54" t="e">
        <f>AND('Listado General'!#REF!,"AAAAAH3zWdg=")</f>
        <v>#REF!</v>
      </c>
      <c r="HJ54" t="e">
        <f>IF('Listado General'!#REF!,"AAAAAH3zWdk=",0)</f>
        <v>#REF!</v>
      </c>
      <c r="HK54" t="e">
        <f>AND('Listado General'!#REF!,"AAAAAH3zWdo=")</f>
        <v>#REF!</v>
      </c>
      <c r="HL54" t="e">
        <f>AND('Listado General'!#REF!,"AAAAAH3zWds=")</f>
        <v>#REF!</v>
      </c>
      <c r="HM54" t="e">
        <f>AND('Listado General'!#REF!,"AAAAAH3zWdw=")</f>
        <v>#REF!</v>
      </c>
      <c r="HN54" t="e">
        <f>AND('Listado General'!#REF!,"AAAAAH3zWd0=")</f>
        <v>#REF!</v>
      </c>
      <c r="HO54" t="e">
        <f>AND('Listado General'!#REF!,"AAAAAH3zWd4=")</f>
        <v>#REF!</v>
      </c>
      <c r="HP54" t="e">
        <f>AND('Listado General'!#REF!,"AAAAAH3zWd8=")</f>
        <v>#REF!</v>
      </c>
      <c r="HQ54" t="e">
        <f>AND('Listado General'!#REF!,"AAAAAH3zWeA=")</f>
        <v>#REF!</v>
      </c>
      <c r="HR54" t="e">
        <f>AND('Listado General'!#REF!,"AAAAAH3zWeE=")</f>
        <v>#REF!</v>
      </c>
      <c r="HS54" t="e">
        <f>AND('Listado General'!#REF!,"AAAAAH3zWeI=")</f>
        <v>#REF!</v>
      </c>
      <c r="HT54" t="e">
        <f>IF('Listado General'!#REF!,"AAAAAH3zWeM=",0)</f>
        <v>#REF!</v>
      </c>
      <c r="HU54" t="e">
        <f>AND('Listado General'!#REF!,"AAAAAH3zWeQ=")</f>
        <v>#REF!</v>
      </c>
      <c r="HV54" t="e">
        <f>AND('Listado General'!#REF!,"AAAAAH3zWeU=")</f>
        <v>#REF!</v>
      </c>
      <c r="HW54" t="e">
        <f>AND('Listado General'!#REF!,"AAAAAH3zWeY=")</f>
        <v>#REF!</v>
      </c>
      <c r="HX54" t="e">
        <f>AND('Listado General'!#REF!,"AAAAAH3zWec=")</f>
        <v>#REF!</v>
      </c>
      <c r="HY54" t="e">
        <f>AND('Listado General'!#REF!,"AAAAAH3zWeg=")</f>
        <v>#REF!</v>
      </c>
      <c r="HZ54" t="e">
        <f>AND('Listado General'!#REF!,"AAAAAH3zWek=")</f>
        <v>#REF!</v>
      </c>
      <c r="IA54" t="e">
        <f>AND('Listado General'!#REF!,"AAAAAH3zWeo=")</f>
        <v>#REF!</v>
      </c>
      <c r="IB54" t="e">
        <f>AND('Listado General'!#REF!,"AAAAAH3zWes=")</f>
        <v>#REF!</v>
      </c>
      <c r="IC54" t="e">
        <f>AND('Listado General'!#REF!,"AAAAAH3zWew=")</f>
        <v>#REF!</v>
      </c>
      <c r="ID54" t="e">
        <f>IF('Listado General'!#REF!,"AAAAAH3zWe0=",0)</f>
        <v>#REF!</v>
      </c>
      <c r="IE54" t="e">
        <f>AND('Listado General'!#REF!,"AAAAAH3zWe4=")</f>
        <v>#REF!</v>
      </c>
      <c r="IF54" t="e">
        <f>AND('Listado General'!#REF!,"AAAAAH3zWe8=")</f>
        <v>#REF!</v>
      </c>
      <c r="IG54" t="e">
        <f>AND('Listado General'!#REF!,"AAAAAH3zWfA=")</f>
        <v>#REF!</v>
      </c>
      <c r="IH54" t="e">
        <f>AND('Listado General'!#REF!,"AAAAAH3zWfE=")</f>
        <v>#REF!</v>
      </c>
      <c r="II54" t="e">
        <f>AND('Listado General'!#REF!,"AAAAAH3zWfI=")</f>
        <v>#REF!</v>
      </c>
      <c r="IJ54" t="e">
        <f>AND('Listado General'!#REF!,"AAAAAH3zWfM=")</f>
        <v>#REF!</v>
      </c>
      <c r="IK54" t="e">
        <f>AND('Listado General'!#REF!,"AAAAAH3zWfQ=")</f>
        <v>#REF!</v>
      </c>
      <c r="IL54" t="e">
        <f>AND('Listado General'!#REF!,"AAAAAH3zWfU=")</f>
        <v>#REF!</v>
      </c>
      <c r="IM54" t="e">
        <f>AND('Listado General'!#REF!,"AAAAAH3zWfY=")</f>
        <v>#REF!</v>
      </c>
      <c r="IN54" t="e">
        <f>IF('Listado General'!#REF!,"AAAAAH3zWfc=",0)</f>
        <v>#REF!</v>
      </c>
      <c r="IO54" t="e">
        <f>AND('Listado General'!#REF!,"AAAAAH3zWfg=")</f>
        <v>#REF!</v>
      </c>
      <c r="IP54" t="e">
        <f>AND('Listado General'!#REF!,"AAAAAH3zWfk=")</f>
        <v>#REF!</v>
      </c>
      <c r="IQ54" t="e">
        <f>AND('Listado General'!#REF!,"AAAAAH3zWfo=")</f>
        <v>#REF!</v>
      </c>
      <c r="IR54" t="e">
        <f>AND('Listado General'!#REF!,"AAAAAH3zWfs=")</f>
        <v>#REF!</v>
      </c>
      <c r="IS54" t="e">
        <f>AND('Listado General'!#REF!,"AAAAAH3zWfw=")</f>
        <v>#REF!</v>
      </c>
      <c r="IT54" t="e">
        <f>AND('Listado General'!#REF!,"AAAAAH3zWf0=")</f>
        <v>#REF!</v>
      </c>
      <c r="IU54" t="e">
        <f>AND('Listado General'!#REF!,"AAAAAH3zWf4=")</f>
        <v>#REF!</v>
      </c>
      <c r="IV54" t="e">
        <f>AND('Listado General'!#REF!,"AAAAAH3zWf8=")</f>
        <v>#REF!</v>
      </c>
    </row>
    <row r="55" spans="1:256" ht="12.75">
      <c r="A55" t="e">
        <f>AND('Listado General'!#REF!,"AAAAAHzVJgA=")</f>
        <v>#REF!</v>
      </c>
      <c r="B55" t="e">
        <f>IF('Listado General'!#REF!,"AAAAAHzVJgE=",0)</f>
        <v>#REF!</v>
      </c>
      <c r="C55" t="e">
        <f>AND('Listado General'!#REF!,"AAAAAHzVJgI=")</f>
        <v>#REF!</v>
      </c>
      <c r="D55" t="e">
        <f>AND('Listado General'!#REF!,"AAAAAHzVJgM=")</f>
        <v>#REF!</v>
      </c>
      <c r="E55" t="e">
        <f>AND('Listado General'!#REF!,"AAAAAHzVJgQ=")</f>
        <v>#REF!</v>
      </c>
      <c r="F55" t="e">
        <f>AND('Listado General'!#REF!,"AAAAAHzVJgU=")</f>
        <v>#REF!</v>
      </c>
      <c r="G55" t="e">
        <f>AND('Listado General'!#REF!,"AAAAAHzVJgY=")</f>
        <v>#REF!</v>
      </c>
      <c r="H55" t="e">
        <f>AND('Listado General'!#REF!,"AAAAAHzVJgc=")</f>
        <v>#REF!</v>
      </c>
      <c r="I55" t="e">
        <f>AND('Listado General'!#REF!,"AAAAAHzVJgg=")</f>
        <v>#REF!</v>
      </c>
      <c r="J55" t="e">
        <f>AND('Listado General'!#REF!,"AAAAAHzVJgk=")</f>
        <v>#REF!</v>
      </c>
      <c r="K55" t="e">
        <f>AND('Listado General'!#REF!,"AAAAAHzVJgo=")</f>
        <v>#REF!</v>
      </c>
      <c r="L55" t="e">
        <f>IF('Listado General'!#REF!,"AAAAAHzVJgs=",0)</f>
        <v>#REF!</v>
      </c>
      <c r="M55" t="e">
        <f>AND('Listado General'!#REF!,"AAAAAHzVJgw=")</f>
        <v>#REF!</v>
      </c>
      <c r="N55" t="e">
        <f>AND('Listado General'!#REF!,"AAAAAHzVJg0=")</f>
        <v>#REF!</v>
      </c>
      <c r="O55" t="e">
        <f>AND('Listado General'!#REF!,"AAAAAHzVJg4=")</f>
        <v>#REF!</v>
      </c>
      <c r="P55" t="e">
        <f>AND('Listado General'!#REF!,"AAAAAHzVJg8=")</f>
        <v>#REF!</v>
      </c>
      <c r="Q55" t="e">
        <f>AND('Listado General'!#REF!,"AAAAAHzVJhA=")</f>
        <v>#REF!</v>
      </c>
      <c r="R55" t="e">
        <f>AND('Listado General'!#REF!,"AAAAAHzVJhE=")</f>
        <v>#REF!</v>
      </c>
      <c r="S55" t="e">
        <f>AND('Listado General'!#REF!,"AAAAAHzVJhI=")</f>
        <v>#REF!</v>
      </c>
      <c r="T55" t="e">
        <f>AND('Listado General'!#REF!,"AAAAAHzVJhM=")</f>
        <v>#REF!</v>
      </c>
      <c r="U55" t="e">
        <f>AND('Listado General'!#REF!,"AAAAAHzVJhQ=")</f>
        <v>#REF!</v>
      </c>
      <c r="V55" t="e">
        <f>IF('Listado General'!#REF!,"AAAAAHzVJhU=",0)</f>
        <v>#REF!</v>
      </c>
      <c r="W55" t="e">
        <f>AND('Listado General'!#REF!,"AAAAAHzVJhY=")</f>
        <v>#REF!</v>
      </c>
      <c r="X55" t="e">
        <f>AND('Listado General'!#REF!,"AAAAAHzVJhc=")</f>
        <v>#REF!</v>
      </c>
      <c r="Y55" t="e">
        <f>AND('Listado General'!#REF!,"AAAAAHzVJhg=")</f>
        <v>#REF!</v>
      </c>
      <c r="Z55" t="e">
        <f>AND('Listado General'!#REF!,"AAAAAHzVJhk=")</f>
        <v>#REF!</v>
      </c>
      <c r="AA55" t="e">
        <f>AND('Listado General'!#REF!,"AAAAAHzVJho=")</f>
        <v>#REF!</v>
      </c>
      <c r="AB55" t="e">
        <f>AND('Listado General'!#REF!,"AAAAAHzVJhs=")</f>
        <v>#REF!</v>
      </c>
      <c r="AC55" t="e">
        <f>AND('Listado General'!#REF!,"AAAAAHzVJhw=")</f>
        <v>#REF!</v>
      </c>
      <c r="AD55" t="e">
        <f>AND('Listado General'!#REF!,"AAAAAHzVJh0=")</f>
        <v>#REF!</v>
      </c>
      <c r="AE55" t="e">
        <f>AND('Listado General'!#REF!,"AAAAAHzVJh4=")</f>
        <v>#REF!</v>
      </c>
      <c r="AF55" t="e">
        <f>IF('Listado General'!#REF!,"AAAAAHzVJh8=",0)</f>
        <v>#REF!</v>
      </c>
      <c r="AG55" t="e">
        <f>AND('Listado General'!#REF!,"AAAAAHzVJiA=")</f>
        <v>#REF!</v>
      </c>
      <c r="AH55" t="e">
        <f>AND('Listado General'!#REF!,"AAAAAHzVJiE=")</f>
        <v>#REF!</v>
      </c>
      <c r="AI55" t="e">
        <f>AND('Listado General'!#REF!,"AAAAAHzVJiI=")</f>
        <v>#REF!</v>
      </c>
      <c r="AJ55" t="e">
        <f>AND('Listado General'!#REF!,"AAAAAHzVJiM=")</f>
        <v>#REF!</v>
      </c>
      <c r="AK55" t="e">
        <f>AND('Listado General'!#REF!,"AAAAAHzVJiQ=")</f>
        <v>#REF!</v>
      </c>
      <c r="AL55" t="e">
        <f>AND('Listado General'!#REF!,"AAAAAHzVJiU=")</f>
        <v>#REF!</v>
      </c>
      <c r="AM55" t="e">
        <f>AND('Listado General'!#REF!,"AAAAAHzVJiY=")</f>
        <v>#REF!</v>
      </c>
      <c r="AN55" t="e">
        <f>AND('Listado General'!#REF!,"AAAAAHzVJic=")</f>
        <v>#REF!</v>
      </c>
      <c r="AO55" t="e">
        <f>AND('Listado General'!#REF!,"AAAAAHzVJig=")</f>
        <v>#REF!</v>
      </c>
      <c r="AP55" t="e">
        <f>IF('Listado General'!#REF!,"AAAAAHzVJik=",0)</f>
        <v>#REF!</v>
      </c>
      <c r="AQ55" t="e">
        <f>AND('Listado General'!#REF!,"AAAAAHzVJio=")</f>
        <v>#REF!</v>
      </c>
      <c r="AR55" t="e">
        <f>AND('Listado General'!#REF!,"AAAAAHzVJis=")</f>
        <v>#REF!</v>
      </c>
      <c r="AS55" t="e">
        <f>AND('Listado General'!#REF!,"AAAAAHzVJiw=")</f>
        <v>#REF!</v>
      </c>
      <c r="AT55" t="e">
        <f>AND('Listado General'!#REF!,"AAAAAHzVJi0=")</f>
        <v>#REF!</v>
      </c>
      <c r="AU55" t="e">
        <f>AND('Listado General'!#REF!,"AAAAAHzVJi4=")</f>
        <v>#REF!</v>
      </c>
      <c r="AV55" t="e">
        <f>AND('Listado General'!#REF!,"AAAAAHzVJi8=")</f>
        <v>#REF!</v>
      </c>
      <c r="AW55" t="e">
        <f>AND('Listado General'!#REF!,"AAAAAHzVJjA=")</f>
        <v>#REF!</v>
      </c>
      <c r="AX55" t="e">
        <f>AND('Listado General'!#REF!,"AAAAAHzVJjE=")</f>
        <v>#REF!</v>
      </c>
      <c r="AY55" t="e">
        <f>AND('Listado General'!#REF!,"AAAAAHzVJjI=")</f>
        <v>#REF!</v>
      </c>
      <c r="AZ55" t="e">
        <f>IF('Listado General'!#REF!,"AAAAAHzVJjM=",0)</f>
        <v>#REF!</v>
      </c>
      <c r="BA55" t="e">
        <f>AND('Listado General'!#REF!,"AAAAAHzVJjQ=")</f>
        <v>#REF!</v>
      </c>
      <c r="BB55" t="e">
        <f>AND('Listado General'!#REF!,"AAAAAHzVJjU=")</f>
        <v>#REF!</v>
      </c>
      <c r="BC55" t="e">
        <f>AND('Listado General'!#REF!,"AAAAAHzVJjY=")</f>
        <v>#REF!</v>
      </c>
      <c r="BD55" t="e">
        <f>AND('Listado General'!#REF!,"AAAAAHzVJjc=")</f>
        <v>#REF!</v>
      </c>
      <c r="BE55" t="e">
        <f>AND('Listado General'!#REF!,"AAAAAHzVJjg=")</f>
        <v>#REF!</v>
      </c>
      <c r="BF55" t="e">
        <f>AND('Listado General'!#REF!,"AAAAAHzVJjk=")</f>
        <v>#REF!</v>
      </c>
      <c r="BG55" t="e">
        <f>AND('Listado General'!#REF!,"AAAAAHzVJjo=")</f>
        <v>#REF!</v>
      </c>
      <c r="BH55" t="e">
        <f>AND('Listado General'!#REF!,"AAAAAHzVJjs=")</f>
        <v>#REF!</v>
      </c>
      <c r="BI55" t="e">
        <f>AND('Listado General'!#REF!,"AAAAAHzVJjw=")</f>
        <v>#REF!</v>
      </c>
      <c r="BJ55" t="e">
        <f>IF('Listado General'!#REF!,"AAAAAHzVJj0=",0)</f>
        <v>#REF!</v>
      </c>
      <c r="BK55" t="e">
        <f>AND('Listado General'!#REF!,"AAAAAHzVJj4=")</f>
        <v>#REF!</v>
      </c>
      <c r="BL55" t="e">
        <f>AND('Listado General'!#REF!,"AAAAAHzVJj8=")</f>
        <v>#REF!</v>
      </c>
      <c r="BM55" t="e">
        <f>AND('Listado General'!#REF!,"AAAAAHzVJkA=")</f>
        <v>#REF!</v>
      </c>
      <c r="BN55" t="e">
        <f>AND('Listado General'!#REF!,"AAAAAHzVJkE=")</f>
        <v>#REF!</v>
      </c>
      <c r="BO55" t="e">
        <f>AND('Listado General'!#REF!,"AAAAAHzVJkI=")</f>
        <v>#REF!</v>
      </c>
      <c r="BP55" t="e">
        <f>AND('Listado General'!#REF!,"AAAAAHzVJkM=")</f>
        <v>#REF!</v>
      </c>
      <c r="BQ55" t="e">
        <f>AND('Listado General'!#REF!,"AAAAAHzVJkQ=")</f>
        <v>#REF!</v>
      </c>
      <c r="BR55" t="e">
        <f>AND('Listado General'!#REF!,"AAAAAHzVJkU=")</f>
        <v>#REF!</v>
      </c>
      <c r="BS55" t="e">
        <f>AND('Listado General'!#REF!,"AAAAAHzVJkY=")</f>
        <v>#REF!</v>
      </c>
      <c r="BT55" t="e">
        <f>IF('Listado General'!#REF!,"AAAAAHzVJkc=",0)</f>
        <v>#REF!</v>
      </c>
      <c r="BU55" t="e">
        <f>AND('Listado General'!#REF!,"AAAAAHzVJkg=")</f>
        <v>#REF!</v>
      </c>
      <c r="BV55" t="e">
        <f>AND('Listado General'!#REF!,"AAAAAHzVJkk=")</f>
        <v>#REF!</v>
      </c>
      <c r="BW55" t="e">
        <f>AND('Listado General'!#REF!,"AAAAAHzVJko=")</f>
        <v>#REF!</v>
      </c>
      <c r="BX55" t="e">
        <f>AND('Listado General'!#REF!,"AAAAAHzVJks=")</f>
        <v>#REF!</v>
      </c>
      <c r="BY55" t="e">
        <f>AND('Listado General'!#REF!,"AAAAAHzVJkw=")</f>
        <v>#REF!</v>
      </c>
      <c r="BZ55" t="e">
        <f>AND('Listado General'!#REF!,"AAAAAHzVJk0=")</f>
        <v>#REF!</v>
      </c>
      <c r="CA55" t="e">
        <f>AND('Listado General'!#REF!,"AAAAAHzVJk4=")</f>
        <v>#REF!</v>
      </c>
      <c r="CB55" t="e">
        <f>AND('Listado General'!#REF!,"AAAAAHzVJk8=")</f>
        <v>#REF!</v>
      </c>
      <c r="CC55" t="e">
        <f>AND('Listado General'!#REF!,"AAAAAHzVJlA=")</f>
        <v>#REF!</v>
      </c>
      <c r="CD55" t="e">
        <f>IF('Listado General'!#REF!,"AAAAAHzVJlE=",0)</f>
        <v>#REF!</v>
      </c>
      <c r="CE55" t="e">
        <f>AND('Listado General'!#REF!,"AAAAAHzVJlI=")</f>
        <v>#REF!</v>
      </c>
      <c r="CF55" t="e">
        <f>AND('Listado General'!#REF!,"AAAAAHzVJlM=")</f>
        <v>#REF!</v>
      </c>
      <c r="CG55" t="e">
        <f>AND('Listado General'!#REF!,"AAAAAHzVJlQ=")</f>
        <v>#REF!</v>
      </c>
      <c r="CH55" t="e">
        <f>AND('Listado General'!#REF!,"AAAAAHzVJlU=")</f>
        <v>#REF!</v>
      </c>
      <c r="CI55" t="e">
        <f>AND('Listado General'!#REF!,"AAAAAHzVJlY=")</f>
        <v>#REF!</v>
      </c>
      <c r="CJ55" t="e">
        <f>AND('Listado General'!#REF!,"AAAAAHzVJlc=")</f>
        <v>#REF!</v>
      </c>
      <c r="CK55" t="e">
        <f>AND('Listado General'!#REF!,"AAAAAHzVJlg=")</f>
        <v>#REF!</v>
      </c>
      <c r="CL55" t="e">
        <f>AND('Listado General'!#REF!,"AAAAAHzVJlk=")</f>
        <v>#REF!</v>
      </c>
      <c r="CM55" t="e">
        <f>AND('Listado General'!#REF!,"AAAAAHzVJlo=")</f>
        <v>#REF!</v>
      </c>
      <c r="CN55" t="e">
        <f>IF('Listado General'!#REF!,"AAAAAHzVJls=",0)</f>
        <v>#REF!</v>
      </c>
      <c r="CO55" t="e">
        <f>AND('Listado General'!#REF!,"AAAAAHzVJlw=")</f>
        <v>#REF!</v>
      </c>
      <c r="CP55" t="e">
        <f>AND('Listado General'!#REF!,"AAAAAHzVJl0=")</f>
        <v>#REF!</v>
      </c>
      <c r="CQ55" t="e">
        <f>AND('Listado General'!#REF!,"AAAAAHzVJl4=")</f>
        <v>#REF!</v>
      </c>
      <c r="CR55" t="e">
        <f>AND('Listado General'!#REF!,"AAAAAHzVJl8=")</f>
        <v>#REF!</v>
      </c>
      <c r="CS55" t="e">
        <f>AND('Listado General'!#REF!,"AAAAAHzVJmA=")</f>
        <v>#REF!</v>
      </c>
      <c r="CT55" t="e">
        <f>AND('Listado General'!#REF!,"AAAAAHzVJmE=")</f>
        <v>#REF!</v>
      </c>
      <c r="CU55" t="e">
        <f>AND('Listado General'!#REF!,"AAAAAHzVJmI=")</f>
        <v>#REF!</v>
      </c>
      <c r="CV55" t="e">
        <f>AND('Listado General'!#REF!,"AAAAAHzVJmM=")</f>
        <v>#REF!</v>
      </c>
      <c r="CW55" t="e">
        <f>AND('Listado General'!#REF!,"AAAAAHzVJmQ=")</f>
        <v>#REF!</v>
      </c>
      <c r="CX55" t="e">
        <f>IF('Listado General'!#REF!,"AAAAAHzVJmU=",0)</f>
        <v>#REF!</v>
      </c>
      <c r="CY55" t="e">
        <f>AND('Listado General'!#REF!,"AAAAAHzVJmY=")</f>
        <v>#REF!</v>
      </c>
      <c r="CZ55" t="e">
        <f>AND('Listado General'!#REF!,"AAAAAHzVJmc=")</f>
        <v>#REF!</v>
      </c>
      <c r="DA55" t="e">
        <f>AND('Listado General'!#REF!,"AAAAAHzVJmg=")</f>
        <v>#REF!</v>
      </c>
      <c r="DB55" t="e">
        <f>AND('Listado General'!#REF!,"AAAAAHzVJmk=")</f>
        <v>#REF!</v>
      </c>
      <c r="DC55" t="e">
        <f>AND('Listado General'!#REF!,"AAAAAHzVJmo=")</f>
        <v>#REF!</v>
      </c>
      <c r="DD55" t="e">
        <f>AND('Listado General'!#REF!,"AAAAAHzVJms=")</f>
        <v>#REF!</v>
      </c>
      <c r="DE55" t="e">
        <f>AND('Listado General'!#REF!,"AAAAAHzVJmw=")</f>
        <v>#REF!</v>
      </c>
      <c r="DF55" t="e">
        <f>AND('Listado General'!#REF!,"AAAAAHzVJm0=")</f>
        <v>#REF!</v>
      </c>
      <c r="DG55" t="e">
        <f>AND('Listado General'!#REF!,"AAAAAHzVJm4=")</f>
        <v>#REF!</v>
      </c>
      <c r="DH55" t="e">
        <f>IF('Listado General'!#REF!,"AAAAAHzVJm8=",0)</f>
        <v>#REF!</v>
      </c>
      <c r="DI55" t="e">
        <f>AND('Listado General'!#REF!,"AAAAAHzVJnA=")</f>
        <v>#REF!</v>
      </c>
      <c r="DJ55" t="e">
        <f>AND('Listado General'!#REF!,"AAAAAHzVJnE=")</f>
        <v>#REF!</v>
      </c>
      <c r="DK55" t="e">
        <f>AND('Listado General'!#REF!,"AAAAAHzVJnI=")</f>
        <v>#REF!</v>
      </c>
      <c r="DL55" t="e">
        <f>AND('Listado General'!#REF!,"AAAAAHzVJnM=")</f>
        <v>#REF!</v>
      </c>
      <c r="DM55" t="e">
        <f>AND('Listado General'!#REF!,"AAAAAHzVJnQ=")</f>
        <v>#REF!</v>
      </c>
      <c r="DN55" t="e">
        <f>AND('Listado General'!#REF!,"AAAAAHzVJnU=")</f>
        <v>#REF!</v>
      </c>
      <c r="DO55" t="e">
        <f>AND('Listado General'!#REF!,"AAAAAHzVJnY=")</f>
        <v>#REF!</v>
      </c>
      <c r="DP55" t="e">
        <f>AND('Listado General'!#REF!,"AAAAAHzVJnc=")</f>
        <v>#REF!</v>
      </c>
      <c r="DQ55" t="e">
        <f>AND('Listado General'!#REF!,"AAAAAHzVJng=")</f>
        <v>#REF!</v>
      </c>
      <c r="DR55" t="e">
        <f>IF('Listado General'!#REF!,"AAAAAHzVJnk=",0)</f>
        <v>#REF!</v>
      </c>
      <c r="DS55" t="e">
        <f>AND('Listado General'!#REF!,"AAAAAHzVJno=")</f>
        <v>#REF!</v>
      </c>
      <c r="DT55" t="e">
        <f>AND('Listado General'!#REF!,"AAAAAHzVJns=")</f>
        <v>#REF!</v>
      </c>
      <c r="DU55" t="e">
        <f>AND('Listado General'!#REF!,"AAAAAHzVJnw=")</f>
        <v>#REF!</v>
      </c>
      <c r="DV55" t="e">
        <f>AND('Listado General'!#REF!,"AAAAAHzVJn0=")</f>
        <v>#REF!</v>
      </c>
      <c r="DW55" t="e">
        <f>AND('Listado General'!#REF!,"AAAAAHzVJn4=")</f>
        <v>#REF!</v>
      </c>
      <c r="DX55" t="e">
        <f>AND('Listado General'!#REF!,"AAAAAHzVJn8=")</f>
        <v>#REF!</v>
      </c>
      <c r="DY55" t="e">
        <f>AND('Listado General'!#REF!,"AAAAAHzVJoA=")</f>
        <v>#REF!</v>
      </c>
      <c r="DZ55" t="e">
        <f>AND('Listado General'!#REF!,"AAAAAHzVJoE=")</f>
        <v>#REF!</v>
      </c>
      <c r="EA55" t="e">
        <f>AND('Listado General'!#REF!,"AAAAAHzVJoI=")</f>
        <v>#REF!</v>
      </c>
      <c r="EB55" t="e">
        <f>IF('Listado General'!#REF!,"AAAAAHzVJoM=",0)</f>
        <v>#REF!</v>
      </c>
      <c r="EC55" t="e">
        <f>AND('Listado General'!#REF!,"AAAAAHzVJoQ=")</f>
        <v>#REF!</v>
      </c>
      <c r="ED55" t="e">
        <f>AND('Listado General'!#REF!,"AAAAAHzVJoU=")</f>
        <v>#REF!</v>
      </c>
      <c r="EE55" t="e">
        <f>AND('Listado General'!#REF!,"AAAAAHzVJoY=")</f>
        <v>#REF!</v>
      </c>
      <c r="EF55" t="e">
        <f>AND('Listado General'!#REF!,"AAAAAHzVJoc=")</f>
        <v>#REF!</v>
      </c>
      <c r="EG55" t="e">
        <f>AND('Listado General'!#REF!,"AAAAAHzVJog=")</f>
        <v>#REF!</v>
      </c>
      <c r="EH55" t="e">
        <f>AND('Listado General'!#REF!,"AAAAAHzVJok=")</f>
        <v>#REF!</v>
      </c>
      <c r="EI55" t="e">
        <f>AND('Listado General'!#REF!,"AAAAAHzVJoo=")</f>
        <v>#REF!</v>
      </c>
      <c r="EJ55" t="e">
        <f>AND('Listado General'!#REF!,"AAAAAHzVJos=")</f>
        <v>#REF!</v>
      </c>
      <c r="EK55" t="e">
        <f>AND('Listado General'!#REF!,"AAAAAHzVJow=")</f>
        <v>#REF!</v>
      </c>
      <c r="EL55" t="e">
        <f>IF('Listado General'!#REF!,"AAAAAHzVJo0=",0)</f>
        <v>#REF!</v>
      </c>
      <c r="EM55" t="e">
        <f>AND('Listado General'!#REF!,"AAAAAHzVJo4=")</f>
        <v>#REF!</v>
      </c>
      <c r="EN55" t="e">
        <f>AND('Listado General'!#REF!,"AAAAAHzVJo8=")</f>
        <v>#REF!</v>
      </c>
      <c r="EO55" t="e">
        <f>AND('Listado General'!#REF!,"AAAAAHzVJpA=")</f>
        <v>#REF!</v>
      </c>
      <c r="EP55" t="e">
        <f>AND('Listado General'!#REF!,"AAAAAHzVJpE=")</f>
        <v>#REF!</v>
      </c>
      <c r="EQ55" t="e">
        <f>AND('Listado General'!#REF!,"AAAAAHzVJpI=")</f>
        <v>#REF!</v>
      </c>
      <c r="ER55" t="e">
        <f>AND('Listado General'!#REF!,"AAAAAHzVJpM=")</f>
        <v>#REF!</v>
      </c>
      <c r="ES55" t="e">
        <f>AND('Listado General'!#REF!,"AAAAAHzVJpQ=")</f>
        <v>#REF!</v>
      </c>
      <c r="ET55" t="e">
        <f>AND('Listado General'!#REF!,"AAAAAHzVJpU=")</f>
        <v>#REF!</v>
      </c>
      <c r="EU55" t="e">
        <f>AND('Listado General'!#REF!,"AAAAAHzVJpY=")</f>
        <v>#REF!</v>
      </c>
      <c r="EV55" t="e">
        <f>IF('Listado General'!#REF!,"AAAAAHzVJpc=",0)</f>
        <v>#REF!</v>
      </c>
      <c r="EW55" t="e">
        <f>AND('Listado General'!#REF!,"AAAAAHzVJpg=")</f>
        <v>#REF!</v>
      </c>
      <c r="EX55" t="e">
        <f>AND('Listado General'!#REF!,"AAAAAHzVJpk=")</f>
        <v>#REF!</v>
      </c>
      <c r="EY55" t="e">
        <f>AND('Listado General'!#REF!,"AAAAAHzVJpo=")</f>
        <v>#REF!</v>
      </c>
      <c r="EZ55" t="e">
        <f>AND('Listado General'!#REF!,"AAAAAHzVJps=")</f>
        <v>#REF!</v>
      </c>
      <c r="FA55" t="e">
        <f>AND('Listado General'!#REF!,"AAAAAHzVJpw=")</f>
        <v>#REF!</v>
      </c>
      <c r="FB55" t="e">
        <f>AND('Listado General'!#REF!,"AAAAAHzVJp0=")</f>
        <v>#REF!</v>
      </c>
      <c r="FC55" t="e">
        <f>AND('Listado General'!#REF!,"AAAAAHzVJp4=")</f>
        <v>#REF!</v>
      </c>
      <c r="FD55" t="e">
        <f>AND('Listado General'!#REF!,"AAAAAHzVJp8=")</f>
        <v>#REF!</v>
      </c>
      <c r="FE55" t="e">
        <f>AND('Listado General'!#REF!,"AAAAAHzVJqA=")</f>
        <v>#REF!</v>
      </c>
      <c r="FF55" t="e">
        <f>IF('Listado General'!#REF!,"AAAAAHzVJqE=",0)</f>
        <v>#REF!</v>
      </c>
      <c r="FG55" t="e">
        <f>AND('Listado General'!#REF!,"AAAAAHzVJqI=")</f>
        <v>#REF!</v>
      </c>
      <c r="FH55" t="e">
        <f>AND('Listado General'!#REF!,"AAAAAHzVJqM=")</f>
        <v>#REF!</v>
      </c>
      <c r="FI55" t="e">
        <f>AND('Listado General'!#REF!,"AAAAAHzVJqQ=")</f>
        <v>#REF!</v>
      </c>
      <c r="FJ55" t="e">
        <f>AND('Listado General'!#REF!,"AAAAAHzVJqU=")</f>
        <v>#REF!</v>
      </c>
      <c r="FK55" t="e">
        <f>AND('Listado General'!#REF!,"AAAAAHzVJqY=")</f>
        <v>#REF!</v>
      </c>
      <c r="FL55" t="e">
        <f>AND('Listado General'!#REF!,"AAAAAHzVJqc=")</f>
        <v>#REF!</v>
      </c>
      <c r="FM55" t="e">
        <f>AND('Listado General'!#REF!,"AAAAAHzVJqg=")</f>
        <v>#REF!</v>
      </c>
      <c r="FN55" t="e">
        <f>AND('Listado General'!#REF!,"AAAAAHzVJqk=")</f>
        <v>#REF!</v>
      </c>
      <c r="FO55" t="e">
        <f>AND('Listado General'!#REF!,"AAAAAHzVJqo=")</f>
        <v>#REF!</v>
      </c>
      <c r="FP55" t="e">
        <f>IF('Listado General'!#REF!,"AAAAAHzVJqs=",0)</f>
        <v>#REF!</v>
      </c>
      <c r="FQ55" t="e">
        <f>AND('Listado General'!#REF!,"AAAAAHzVJqw=")</f>
        <v>#REF!</v>
      </c>
      <c r="FR55" t="e">
        <f>AND('Listado General'!#REF!,"AAAAAHzVJq0=")</f>
        <v>#REF!</v>
      </c>
      <c r="FS55" t="e">
        <f>AND('Listado General'!#REF!,"AAAAAHzVJq4=")</f>
        <v>#REF!</v>
      </c>
      <c r="FT55" t="e">
        <f>AND('Listado General'!#REF!,"AAAAAHzVJq8=")</f>
        <v>#REF!</v>
      </c>
      <c r="FU55" t="e">
        <f>AND('Listado General'!#REF!,"AAAAAHzVJrA=")</f>
        <v>#REF!</v>
      </c>
      <c r="FV55" t="e">
        <f>AND('Listado General'!#REF!,"AAAAAHzVJrE=")</f>
        <v>#REF!</v>
      </c>
      <c r="FW55" t="e">
        <f>AND('Listado General'!#REF!,"AAAAAHzVJrI=")</f>
        <v>#REF!</v>
      </c>
      <c r="FX55" t="e">
        <f>AND('Listado General'!#REF!,"AAAAAHzVJrM=")</f>
        <v>#REF!</v>
      </c>
      <c r="FY55" t="e">
        <f>AND('Listado General'!#REF!,"AAAAAHzVJrQ=")</f>
        <v>#REF!</v>
      </c>
      <c r="FZ55" t="e">
        <f>IF('Listado General'!#REF!,"AAAAAHzVJrU=",0)</f>
        <v>#REF!</v>
      </c>
      <c r="GA55" t="e">
        <f>AND('Listado General'!#REF!,"AAAAAHzVJrY=")</f>
        <v>#REF!</v>
      </c>
      <c r="GB55" t="e">
        <f>AND('Listado General'!#REF!,"AAAAAHzVJrc=")</f>
        <v>#REF!</v>
      </c>
      <c r="GC55" t="e">
        <f>AND('Listado General'!#REF!,"AAAAAHzVJrg=")</f>
        <v>#REF!</v>
      </c>
      <c r="GD55" t="e">
        <f>AND('Listado General'!#REF!,"AAAAAHzVJrk=")</f>
        <v>#REF!</v>
      </c>
      <c r="GE55" t="e">
        <f>AND('Listado General'!#REF!,"AAAAAHzVJro=")</f>
        <v>#REF!</v>
      </c>
      <c r="GF55" t="e">
        <f>AND('Listado General'!#REF!,"AAAAAHzVJrs=")</f>
        <v>#REF!</v>
      </c>
      <c r="GG55" t="e">
        <f>AND('Listado General'!#REF!,"AAAAAHzVJrw=")</f>
        <v>#REF!</v>
      </c>
      <c r="GH55" t="e">
        <f>AND('Listado General'!#REF!,"AAAAAHzVJr0=")</f>
        <v>#REF!</v>
      </c>
      <c r="GI55" t="e">
        <f>AND('Listado General'!#REF!,"AAAAAHzVJr4=")</f>
        <v>#REF!</v>
      </c>
      <c r="GJ55" t="e">
        <f>IF('Listado General'!#REF!,"AAAAAHzVJr8=",0)</f>
        <v>#REF!</v>
      </c>
      <c r="GK55" t="e">
        <f>AND('Listado General'!#REF!,"AAAAAHzVJsA=")</f>
        <v>#REF!</v>
      </c>
      <c r="GL55" t="e">
        <f>AND('Listado General'!#REF!,"AAAAAHzVJsE=")</f>
        <v>#REF!</v>
      </c>
      <c r="GM55" t="e">
        <f>AND('Listado General'!#REF!,"AAAAAHzVJsI=")</f>
        <v>#REF!</v>
      </c>
      <c r="GN55" t="e">
        <f>AND('Listado General'!#REF!,"AAAAAHzVJsM=")</f>
        <v>#REF!</v>
      </c>
      <c r="GO55" t="e">
        <f>AND('Listado General'!#REF!,"AAAAAHzVJsQ=")</f>
        <v>#REF!</v>
      </c>
      <c r="GP55" t="e">
        <f>AND('Listado General'!#REF!,"AAAAAHzVJsU=")</f>
        <v>#REF!</v>
      </c>
      <c r="GQ55" t="e">
        <f>AND('Listado General'!#REF!,"AAAAAHzVJsY=")</f>
        <v>#REF!</v>
      </c>
      <c r="GR55" t="e">
        <f>AND('Listado General'!#REF!,"AAAAAHzVJsc=")</f>
        <v>#REF!</v>
      </c>
      <c r="GS55" t="e">
        <f>AND('Listado General'!#REF!,"AAAAAHzVJsg=")</f>
        <v>#REF!</v>
      </c>
      <c r="GT55" t="e">
        <f>IF('Listado General'!#REF!,"AAAAAHzVJsk=",0)</f>
        <v>#REF!</v>
      </c>
      <c r="GU55" t="e">
        <f>AND('Listado General'!#REF!,"AAAAAHzVJso=")</f>
        <v>#REF!</v>
      </c>
      <c r="GV55" t="e">
        <f>AND('Listado General'!#REF!,"AAAAAHzVJss=")</f>
        <v>#REF!</v>
      </c>
      <c r="GW55" t="e">
        <f>AND('Listado General'!#REF!,"AAAAAHzVJsw=")</f>
        <v>#REF!</v>
      </c>
      <c r="GX55" t="e">
        <f>AND('Listado General'!#REF!,"AAAAAHzVJs0=")</f>
        <v>#REF!</v>
      </c>
      <c r="GY55" t="e">
        <f>AND('Listado General'!#REF!,"AAAAAHzVJs4=")</f>
        <v>#REF!</v>
      </c>
      <c r="GZ55" t="e">
        <f>AND('Listado General'!#REF!,"AAAAAHzVJs8=")</f>
        <v>#REF!</v>
      </c>
      <c r="HA55" t="e">
        <f>AND('Listado General'!#REF!,"AAAAAHzVJtA=")</f>
        <v>#REF!</v>
      </c>
      <c r="HB55" t="e">
        <f>AND('Listado General'!#REF!,"AAAAAHzVJtE=")</f>
        <v>#REF!</v>
      </c>
      <c r="HC55" t="e">
        <f>AND('Listado General'!#REF!,"AAAAAHzVJtI=")</f>
        <v>#REF!</v>
      </c>
      <c r="HD55" t="e">
        <f>IF('Listado General'!#REF!,"AAAAAHzVJtM=",0)</f>
        <v>#REF!</v>
      </c>
      <c r="HE55" t="e">
        <f>AND('Listado General'!#REF!,"AAAAAHzVJtQ=")</f>
        <v>#REF!</v>
      </c>
      <c r="HF55" t="e">
        <f>AND('Listado General'!#REF!,"AAAAAHzVJtU=")</f>
        <v>#REF!</v>
      </c>
      <c r="HG55" t="e">
        <f>AND('Listado General'!#REF!,"AAAAAHzVJtY=")</f>
        <v>#REF!</v>
      </c>
      <c r="HH55" t="e">
        <f>AND('Listado General'!#REF!,"AAAAAHzVJtc=")</f>
        <v>#REF!</v>
      </c>
      <c r="HI55" t="e">
        <f>AND('Listado General'!#REF!,"AAAAAHzVJtg=")</f>
        <v>#REF!</v>
      </c>
      <c r="HJ55" t="e">
        <f>AND('Listado General'!#REF!,"AAAAAHzVJtk=")</f>
        <v>#REF!</v>
      </c>
      <c r="HK55" t="e">
        <f>AND('Listado General'!#REF!,"AAAAAHzVJto=")</f>
        <v>#REF!</v>
      </c>
      <c r="HL55" t="e">
        <f>AND('Listado General'!#REF!,"AAAAAHzVJts=")</f>
        <v>#REF!</v>
      </c>
      <c r="HM55" t="e">
        <f>AND('Listado General'!#REF!,"AAAAAHzVJtw=")</f>
        <v>#REF!</v>
      </c>
      <c r="HN55" t="e">
        <f>IF('Listado General'!#REF!,"AAAAAHzVJt0=",0)</f>
        <v>#REF!</v>
      </c>
      <c r="HO55" t="e">
        <f>AND('Listado General'!#REF!,"AAAAAHzVJt4=")</f>
        <v>#REF!</v>
      </c>
      <c r="HP55" t="e">
        <f>AND('Listado General'!#REF!,"AAAAAHzVJt8=")</f>
        <v>#REF!</v>
      </c>
      <c r="HQ55" t="e">
        <f>AND('Listado General'!#REF!,"AAAAAHzVJuA=")</f>
        <v>#REF!</v>
      </c>
      <c r="HR55" t="e">
        <f>AND('Listado General'!#REF!,"AAAAAHzVJuE=")</f>
        <v>#REF!</v>
      </c>
      <c r="HS55" t="e">
        <f>AND('Listado General'!#REF!,"AAAAAHzVJuI=")</f>
        <v>#REF!</v>
      </c>
      <c r="HT55" t="e">
        <f>AND('Listado General'!#REF!,"AAAAAHzVJuM=")</f>
        <v>#REF!</v>
      </c>
      <c r="HU55" t="e">
        <f>AND('Listado General'!#REF!,"AAAAAHzVJuQ=")</f>
        <v>#REF!</v>
      </c>
      <c r="HV55" t="e">
        <f>AND('Listado General'!#REF!,"AAAAAHzVJuU=")</f>
        <v>#REF!</v>
      </c>
      <c r="HW55" t="e">
        <f>AND('Listado General'!#REF!,"AAAAAHzVJuY=")</f>
        <v>#REF!</v>
      </c>
      <c r="HX55" t="e">
        <f>IF('Listado General'!#REF!,"AAAAAHzVJuc=",0)</f>
        <v>#REF!</v>
      </c>
      <c r="HY55" t="e">
        <f>AND('Listado General'!#REF!,"AAAAAHzVJug=")</f>
        <v>#REF!</v>
      </c>
      <c r="HZ55" t="e">
        <f>AND('Listado General'!#REF!,"AAAAAHzVJuk=")</f>
        <v>#REF!</v>
      </c>
      <c r="IA55" t="e">
        <f>AND('Listado General'!#REF!,"AAAAAHzVJuo=")</f>
        <v>#REF!</v>
      </c>
      <c r="IB55" t="e">
        <f>AND('Listado General'!#REF!,"AAAAAHzVJus=")</f>
        <v>#REF!</v>
      </c>
      <c r="IC55" t="e">
        <f>AND('Listado General'!#REF!,"AAAAAHzVJuw=")</f>
        <v>#REF!</v>
      </c>
      <c r="ID55" t="e">
        <f>AND('Listado General'!#REF!,"AAAAAHzVJu0=")</f>
        <v>#REF!</v>
      </c>
      <c r="IE55" t="e">
        <f>AND('Listado General'!#REF!,"AAAAAHzVJu4=")</f>
        <v>#REF!</v>
      </c>
      <c r="IF55" t="e">
        <f>AND('Listado General'!#REF!,"AAAAAHzVJu8=")</f>
        <v>#REF!</v>
      </c>
      <c r="IG55" t="e">
        <f>AND('Listado General'!#REF!,"AAAAAHzVJvA=")</f>
        <v>#REF!</v>
      </c>
      <c r="IH55" t="e">
        <f>IF('Listado General'!#REF!,"AAAAAHzVJvE=",0)</f>
        <v>#REF!</v>
      </c>
      <c r="II55" t="e">
        <f>AND('Listado General'!#REF!,"AAAAAHzVJvI=")</f>
        <v>#REF!</v>
      </c>
      <c r="IJ55" t="e">
        <f>AND('Listado General'!#REF!,"AAAAAHzVJvM=")</f>
        <v>#REF!</v>
      </c>
      <c r="IK55" t="e">
        <f>AND('Listado General'!#REF!,"AAAAAHzVJvQ=")</f>
        <v>#REF!</v>
      </c>
      <c r="IL55" t="e">
        <f>AND('Listado General'!#REF!,"AAAAAHzVJvU=")</f>
        <v>#REF!</v>
      </c>
      <c r="IM55" t="e">
        <f>AND('Listado General'!#REF!,"AAAAAHzVJvY=")</f>
        <v>#REF!</v>
      </c>
      <c r="IN55" t="e">
        <f>AND('Listado General'!#REF!,"AAAAAHzVJvc=")</f>
        <v>#REF!</v>
      </c>
      <c r="IO55" t="e">
        <f>AND('Listado General'!#REF!,"AAAAAHzVJvg=")</f>
        <v>#REF!</v>
      </c>
      <c r="IP55" t="e">
        <f>AND('Listado General'!#REF!,"AAAAAHzVJvk=")</f>
        <v>#REF!</v>
      </c>
      <c r="IQ55" t="e">
        <f>AND('Listado General'!#REF!,"AAAAAHzVJvo=")</f>
        <v>#REF!</v>
      </c>
      <c r="IR55" t="e">
        <f>IF('Listado General'!#REF!,"AAAAAHzVJvs=",0)</f>
        <v>#REF!</v>
      </c>
      <c r="IS55" t="e">
        <f>AND('Listado General'!#REF!,"AAAAAHzVJvw=")</f>
        <v>#REF!</v>
      </c>
      <c r="IT55" t="e">
        <f>AND('Listado General'!#REF!,"AAAAAHzVJv0=")</f>
        <v>#REF!</v>
      </c>
      <c r="IU55" t="e">
        <f>AND('Listado General'!#REF!,"AAAAAHzVJv4=")</f>
        <v>#REF!</v>
      </c>
      <c r="IV55" t="e">
        <f>AND('Listado General'!#REF!,"AAAAAHzVJv8=")</f>
        <v>#REF!</v>
      </c>
    </row>
    <row r="56" spans="1:57" ht="12.75">
      <c r="A56" t="e">
        <f>AND('Listado General'!#REF!,"AAAAAE/a/gA=")</f>
        <v>#REF!</v>
      </c>
      <c r="B56" t="e">
        <f>AND('Listado General'!#REF!,"AAAAAE/a/gE=")</f>
        <v>#REF!</v>
      </c>
      <c r="C56" t="e">
        <f>AND('Listado General'!#REF!,"AAAAAE/a/gI=")</f>
        <v>#REF!</v>
      </c>
      <c r="D56" t="e">
        <f>AND('Listado General'!#REF!,"AAAAAE/a/gM=")</f>
        <v>#REF!</v>
      </c>
      <c r="E56" t="e">
        <f>AND('Listado General'!#REF!,"AAAAAE/a/gQ=")</f>
        <v>#REF!</v>
      </c>
      <c r="F56" t="e">
        <f>IF('Listado General'!#REF!,"AAAAAE/a/gU=",0)</f>
        <v>#REF!</v>
      </c>
      <c r="G56" t="e">
        <f>AND('Listado General'!#REF!,"AAAAAE/a/gY=")</f>
        <v>#REF!</v>
      </c>
      <c r="H56" t="e">
        <f>AND('Listado General'!#REF!,"AAAAAE/a/gc=")</f>
        <v>#REF!</v>
      </c>
      <c r="I56" t="e">
        <f>AND('Listado General'!#REF!,"AAAAAE/a/gg=")</f>
        <v>#REF!</v>
      </c>
      <c r="J56" t="e">
        <f>AND('Listado General'!#REF!,"AAAAAE/a/gk=")</f>
        <v>#REF!</v>
      </c>
      <c r="K56" t="e">
        <f>AND('Listado General'!#REF!,"AAAAAE/a/go=")</f>
        <v>#REF!</v>
      </c>
      <c r="L56" t="e">
        <f>AND('Listado General'!#REF!,"AAAAAE/a/gs=")</f>
        <v>#REF!</v>
      </c>
      <c r="M56" t="e">
        <f>AND('Listado General'!#REF!,"AAAAAE/a/gw=")</f>
        <v>#REF!</v>
      </c>
      <c r="N56" t="e">
        <f>AND('Listado General'!#REF!,"AAAAAE/a/g0=")</f>
        <v>#REF!</v>
      </c>
      <c r="O56" t="e">
        <f>AND('Listado General'!#REF!,"AAAAAE/a/g4=")</f>
        <v>#REF!</v>
      </c>
      <c r="P56" t="e">
        <f>IF('Listado General'!#REF!,"AAAAAE/a/g8=",0)</f>
        <v>#REF!</v>
      </c>
      <c r="Q56" t="e">
        <f>AND('Listado General'!#REF!,"AAAAAE/a/hA=")</f>
        <v>#REF!</v>
      </c>
      <c r="R56" t="e">
        <f>AND('Listado General'!#REF!,"AAAAAE/a/hE=")</f>
        <v>#REF!</v>
      </c>
      <c r="S56" t="e">
        <f>AND('Listado General'!#REF!,"AAAAAE/a/hI=")</f>
        <v>#REF!</v>
      </c>
      <c r="T56" t="e">
        <f>AND('Listado General'!#REF!,"AAAAAE/a/hM=")</f>
        <v>#REF!</v>
      </c>
      <c r="U56" t="e">
        <f>AND('Listado General'!#REF!,"AAAAAE/a/hQ=")</f>
        <v>#REF!</v>
      </c>
      <c r="V56" t="e">
        <f>AND('Listado General'!#REF!,"AAAAAE/a/hU=")</f>
        <v>#REF!</v>
      </c>
      <c r="W56" t="e">
        <f>AND('Listado General'!#REF!,"AAAAAE/a/hY=")</f>
        <v>#REF!</v>
      </c>
      <c r="X56" t="e">
        <f>AND('Listado General'!#REF!,"AAAAAE/a/hc=")</f>
        <v>#REF!</v>
      </c>
      <c r="Y56" t="e">
        <f>AND('Listado General'!#REF!,"AAAAAE/a/hg=")</f>
        <v>#REF!</v>
      </c>
      <c r="Z56">
        <f>IF('Listado General'!A:A,"AAAAAE/a/hk=",0)</f>
        <v>0</v>
      </c>
      <c r="AA56">
        <f>IF('Listado General'!B:B,"AAAAAE/a/ho=",0)</f>
        <v>0</v>
      </c>
      <c r="AB56">
        <f>IF('Listado General'!C:C,"AAAAAE/a/hs=",0)</f>
        <v>0</v>
      </c>
      <c r="AC56">
        <f>IF('Listado General'!D:D,"AAAAAE/a/hw=",0)</f>
        <v>0</v>
      </c>
      <c r="AD56">
        <f>IF('Listado General'!E:E,"AAAAAE/a/h0=",0)</f>
        <v>0</v>
      </c>
      <c r="AE56">
        <f>IF('Listado General'!F:F,"AAAAAE/a/h4=",0)</f>
        <v>0</v>
      </c>
      <c r="AF56">
        <f>IF('Listado General'!H:H,"AAAAAE/a/h8=",0)</f>
        <v>0</v>
      </c>
      <c r="AG56">
        <f>IF('Listado General'!I:I,"AAAAAE/a/iA=",0)</f>
        <v>0</v>
      </c>
      <c r="AH56" t="e">
        <f>IF('Listado General'!#REF!,"AAAAAE/a/iE=",0)</f>
        <v>#REF!</v>
      </c>
      <c r="AI56">
        <f>IF('Listado General'!J:J,"AAAAAE/a/iI=",0)</f>
        <v>0</v>
      </c>
      <c r="AJ56">
        <f>IF('Listado General'!K:K,"AAAAAE/a/iM=",0)</f>
        <v>0</v>
      </c>
      <c r="AK56">
        <f>IF('Listado General'!L:L,"AAAAAE/a/iQ=",0)</f>
        <v>0</v>
      </c>
      <c r="AL56">
        <f>IF('Listado General'!M:M,"AAAAAE/a/iU=",0)</f>
        <v>0</v>
      </c>
      <c r="AM56">
        <f>IF('Listado General'!N:N,"AAAAAE/a/iY=",0)</f>
        <v>0</v>
      </c>
      <c r="AN56">
        <f>IF('Listado General'!O:O,"AAAAAE/a/ic=",0)</f>
        <v>0</v>
      </c>
      <c r="AO56">
        <f>IF('Listado General'!P:P,"AAAAAE/a/ig=",0)</f>
        <v>0</v>
      </c>
      <c r="AP56">
        <f>IF('Listado General'!Q:Q,"AAAAAE/a/ik=",0)</f>
        <v>0</v>
      </c>
      <c r="AQ56">
        <f>IF('Listado General'!R:R,"AAAAAE/a/io=",0)</f>
        <v>0</v>
      </c>
      <c r="AR56">
        <f>IF('Listado General'!S:S,"AAAAAE/a/is=",0)</f>
        <v>0</v>
      </c>
      <c r="AS56">
        <f>IF('Listado General'!T:T,"AAAAAE/a/iw=",0)</f>
        <v>0</v>
      </c>
      <c r="AT56">
        <f>IF('Listado General'!U:U,"AAAAAE/a/i0=",0)</f>
        <v>0</v>
      </c>
      <c r="AU56">
        <f>IF('Listado General'!V:V,"AAAAAE/a/i4=",0)</f>
        <v>0</v>
      </c>
      <c r="AV56">
        <f>IF('Listado General'!W:W,"AAAAAE/a/i8=",0)</f>
        <v>0</v>
      </c>
      <c r="AW56">
        <f>IF('Listado General'!X:X,"AAAAAE/a/jA=",0)</f>
        <v>0</v>
      </c>
      <c r="AX56" t="e">
        <f>IF(#REF!,"AAAAAE/a/jE=",0)</f>
        <v>#REF!</v>
      </c>
      <c r="AY56" t="e">
        <f>AND(#REF!,"AAAAAE/a/jI=")</f>
        <v>#REF!</v>
      </c>
      <c r="AZ56" t="e">
        <f>IF(#REF!,"AAAAAE/a/jM=",0)</f>
        <v>#REF!</v>
      </c>
      <c r="BA56" t="s">
        <v>3</v>
      </c>
      <c r="BB56" t="s">
        <v>4</v>
      </c>
      <c r="BC56" t="s">
        <v>5</v>
      </c>
      <c r="BD56" s="1" t="s">
        <v>6</v>
      </c>
      <c r="BE56" t="e">
        <f>IF("N",'Listado General'!_FILTERDATABASE,"AAAAAE/a/jg=")</f>
        <v>#VALUE!</v>
      </c>
    </row>
    <row r="57" spans="1:2" ht="12.75">
      <c r="A57" t="s">
        <v>7</v>
      </c>
      <c r="B57" t="s">
        <v>8</v>
      </c>
    </row>
  </sheetData>
  <sheetProtection/>
  <printOptions/>
  <pageMargins left="0.75" right="0.75" top="1" bottom="1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beatriz.comas</dc:creator>
  <cp:keywords/>
  <dc:description/>
  <cp:lastModifiedBy>Jorge Carvajal</cp:lastModifiedBy>
  <cp:lastPrinted>2018-08-16T13:03:54Z</cp:lastPrinted>
  <dcterms:created xsi:type="dcterms:W3CDTF">2010-09-13T17:11:25Z</dcterms:created>
  <dcterms:modified xsi:type="dcterms:W3CDTF">2019-05-13T21:13:42Z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1oEB0aW3HhHlIfJ-wPhmP5ntA0N68uK1-Pu3bNzz4HQA</vt:lpwstr>
  </property>
  <property fmtid="{D5CDD505-2E9C-101B-9397-08002B2CF9AE}" pid="3" name="Google.Documents.RevisionId">
    <vt:lpwstr>10197629296718707448</vt:lpwstr>
  </property>
  <property fmtid="{D5CDD505-2E9C-101B-9397-08002B2CF9AE}" pid="4" name="Google.Documents.PreviousRevisionId">
    <vt:lpwstr>05536058254555533054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  <property fmtid="{D5CDD505-2E9C-101B-9397-08002B2CF9AE}" pid="7" name="Google.Documents.Tracking">
    <vt:lpwstr>false</vt:lpwstr>
  </property>
</Properties>
</file>